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tty" sheetId="1" r:id="rId5"/>
    <sheet state="visible" name="Pairing Totals" sheetId="2" r:id="rId6"/>
    <sheet state="visible" name="Pairings No Luck" sheetId="3" r:id="rId7"/>
    <sheet state="visible" name="Yaku Totals" sheetId="4" r:id="rId8"/>
    <sheet state="visible" name="Selector" sheetId="5" r:id="rId9"/>
  </sheets>
  <definedNames/>
  <calcPr/>
</workbook>
</file>

<file path=xl/sharedStrings.xml><?xml version="1.0" encoding="utf-8"?>
<sst xmlns="http://schemas.openxmlformats.org/spreadsheetml/2006/main" count="368" uniqueCount="365">
  <si>
    <t>Double Riichi</t>
  </si>
  <si>
    <t>Total:</t>
  </si>
  <si>
    <t>Combination</t>
  </si>
  <si>
    <t>Count</t>
  </si>
  <si>
    <t>Percentage</t>
  </si>
  <si>
    <t>Occurrences</t>
  </si>
  <si>
    <t>Yaku A</t>
  </si>
  <si>
    <t>Yaku B</t>
  </si>
  <si>
    <t>Riichi + Tsumo</t>
  </si>
  <si>
    <t>Riichi + Akadora</t>
  </si>
  <si>
    <t>Dora + Akadora</t>
  </si>
  <si>
    <t>Riichi + Dora</t>
  </si>
  <si>
    <t>Riichi + Pinfu</t>
  </si>
  <si>
    <t>Tanyao + Akadora</t>
  </si>
  <si>
    <t>Riichi + Uradora</t>
  </si>
  <si>
    <t>Tsumo + Akadora</t>
  </si>
  <si>
    <t>Tsumo + Dora</t>
  </si>
  <si>
    <t>Pinfu + Akadora</t>
  </si>
  <si>
    <t>Tsumo + Pinfu</t>
  </si>
  <si>
    <t>Tanyao + Dora</t>
  </si>
  <si>
    <t>Yakuhai Dragon + Dora</t>
  </si>
  <si>
    <t>Yakuhai Dragon + Akadora</t>
  </si>
  <si>
    <t>Pinfu + Dora</t>
  </si>
  <si>
    <t>Riichi + Ippatsu</t>
  </si>
  <si>
    <t>Tsumo + Uradora</t>
  </si>
  <si>
    <t>Yakuhai Wind + Dora</t>
  </si>
  <si>
    <t>Yakuhai Wind + Akadora</t>
  </si>
  <si>
    <t>Riichi + Tanyao</t>
  </si>
  <si>
    <t>Akadora + Uradora</t>
  </si>
  <si>
    <t>Dora + Uradora</t>
  </si>
  <si>
    <t>Pinfu + Uradora</t>
  </si>
  <si>
    <t>Tsumo + Tanyao</t>
  </si>
  <si>
    <t>Pinfu + Tanyao</t>
  </si>
  <si>
    <t>Ippatsu + Tsumo</t>
  </si>
  <si>
    <t>Ippatsu + Akadora</t>
  </si>
  <si>
    <t>Ippatsu + Dora</t>
  </si>
  <si>
    <t>Yakuhai Wind + Yakuhai Wind</t>
  </si>
  <si>
    <t>Ippatsu + Pinfu</t>
  </si>
  <si>
    <t>Yakuhai Dragon + Honitsu</t>
  </si>
  <si>
    <t>Ippatsu + Uradora</t>
  </si>
  <si>
    <t>Riichi + Iipeikou</t>
  </si>
  <si>
    <t>Pinfu + Iipeikou</t>
  </si>
  <si>
    <t>Riichi + Yakuhai Dragon</t>
  </si>
  <si>
    <t>Iipeikou + Akadora</t>
  </si>
  <si>
    <t>Yakuhai Wind + Honitsu</t>
  </si>
  <si>
    <t>Tanyao + Uradora</t>
  </si>
  <si>
    <t>Tsumo + Iipeikou</t>
  </si>
  <si>
    <t>Doujun + Dora</t>
  </si>
  <si>
    <t>Doujun + Akadora</t>
  </si>
  <si>
    <t>Riichi + Chiitoitsu</t>
  </si>
  <si>
    <t>Iipeikou + Dora</t>
  </si>
  <si>
    <t>Yakuhai Wind + Yakuhai Dragon</t>
  </si>
  <si>
    <t>Honitsu + Akadora</t>
  </si>
  <si>
    <t>Doujun + Tanyao</t>
  </si>
  <si>
    <t>Riichi + Yakuhai Wind</t>
  </si>
  <si>
    <t>Riichi + Doujun</t>
  </si>
  <si>
    <t>Honitsu + Dora</t>
  </si>
  <si>
    <t>Iipeikou + Tanyao</t>
  </si>
  <si>
    <t>Ippatsu + Tanyao</t>
  </si>
  <si>
    <t>Yakuhai Dragon + Yakuhai Dragon</t>
  </si>
  <si>
    <t>Tsumo + Yakuhai Dragon</t>
  </si>
  <si>
    <t>Chiitoitsu + Dora</t>
  </si>
  <si>
    <t>Chiitoitsu + Akadora</t>
  </si>
  <si>
    <t>Yakuhai Dragon + Yakuhai Wind</t>
  </si>
  <si>
    <t>Pinfu + Doujun</t>
  </si>
  <si>
    <t>Tsumo + Chiitoitsu</t>
  </si>
  <si>
    <t>Toitoi + Yakuhai Dragon</t>
  </si>
  <si>
    <t>Tsumo + Doujun</t>
  </si>
  <si>
    <t>Tsumo + Yakuhai Wind</t>
  </si>
  <si>
    <t>Itsu + Akadora</t>
  </si>
  <si>
    <t>Itsu + Dora</t>
  </si>
  <si>
    <t>Toitoi + Yakuhai Wind</t>
  </si>
  <si>
    <t>Iipeikou + Uradora</t>
  </si>
  <si>
    <t>Yakuhai Dragon + Uradora</t>
  </si>
  <si>
    <t>Riichi + Itsu</t>
  </si>
  <si>
    <t>Toitoi + Akadora</t>
  </si>
  <si>
    <t>Ippatsu + Iipeikou</t>
  </si>
  <si>
    <t>Doujun + Uradora</t>
  </si>
  <si>
    <t>Yakuhai Dragon + Chanta</t>
  </si>
  <si>
    <t>Ippatsu + Yakuhai Dragon</t>
  </si>
  <si>
    <t>Chanta + Dora</t>
  </si>
  <si>
    <t>Yakuhai Wind + Uradora</t>
  </si>
  <si>
    <t>Tsumo + Itsu</t>
  </si>
  <si>
    <t>Pinfu + Itsu</t>
  </si>
  <si>
    <t>Toitoi + Dora</t>
  </si>
  <si>
    <t>Chiitoitsu + Uradora</t>
  </si>
  <si>
    <t>Ippatsu + Chiitoitsu</t>
  </si>
  <si>
    <t>Haitei + Tsumo</t>
  </si>
  <si>
    <t>Tsumo + Sanankou</t>
  </si>
  <si>
    <t>Yakuhai Wind + Chanta</t>
  </si>
  <si>
    <t>Riichi + Sanankou</t>
  </si>
  <si>
    <t>Haitei + Akadora</t>
  </si>
  <si>
    <t>Sanankou + Akadora</t>
  </si>
  <si>
    <t>Chiitoitsu + Tanyao</t>
  </si>
  <si>
    <t>Toitoi + Honitsu</t>
  </si>
  <si>
    <t>Haitei + Dora</t>
  </si>
  <si>
    <t>Ippatsu + Yakuhai Wind</t>
  </si>
  <si>
    <t>Houtei + Akadora</t>
  </si>
  <si>
    <t>Riichi + Haitei</t>
  </si>
  <si>
    <t>Sanankou + Toitoi</t>
  </si>
  <si>
    <t>Ippatsu + Doujun</t>
  </si>
  <si>
    <t>Houtei + Dora</t>
  </si>
  <si>
    <t>Chinitsu + Akadora</t>
  </si>
  <si>
    <t>Sanankou + Dora</t>
  </si>
  <si>
    <t>Doujun + Yakuhai Dragon</t>
  </si>
  <si>
    <t>Sanankou + Yakuhai Dragon</t>
  </si>
  <si>
    <t>Shousangen + Yakuhai Dragon</t>
  </si>
  <si>
    <t>Itsu + Honitsu</t>
  </si>
  <si>
    <t>Itsu + Uradora</t>
  </si>
  <si>
    <t>Riichi + Houtei</t>
  </si>
  <si>
    <t>Doujun + Chanta</t>
  </si>
  <si>
    <t>Toitoi + Tanyao</t>
  </si>
  <si>
    <t>Haitei + Tanyao</t>
  </si>
  <si>
    <t>Doujun + Yakuhai Wind</t>
  </si>
  <si>
    <t>Tsumo + Honitsu</t>
  </si>
  <si>
    <t>Junchan + Dora</t>
  </si>
  <si>
    <t>Houtei + Tanyao</t>
  </si>
  <si>
    <t>Rinshan + Dora</t>
  </si>
  <si>
    <t>Sanankou + Tanyao</t>
  </si>
  <si>
    <t>Rinshan + Akadora</t>
  </si>
  <si>
    <t>Riichi + Honitsu</t>
  </si>
  <si>
    <t>Doujun + Junchan</t>
  </si>
  <si>
    <t>Sanankou + Yakuhai Wind</t>
  </si>
  <si>
    <t>Double Riichi + Tsumo</t>
  </si>
  <si>
    <t>Chanta + Honitsu</t>
  </si>
  <si>
    <t>Chinitsu + Dora</t>
  </si>
  <si>
    <t>Haitei + Pinfu</t>
  </si>
  <si>
    <t>Rinshan + Yakuhai Dragon</t>
  </si>
  <si>
    <t>Rinshan + Tsumo</t>
  </si>
  <si>
    <t>Iipeikou + Yakuhai Dragon</t>
  </si>
  <si>
    <t>Itsu + Yakuhai Dragon</t>
  </si>
  <si>
    <t>Riichi + Chanta</t>
  </si>
  <si>
    <t>Ippatsu + Itsu</t>
  </si>
  <si>
    <t>Riichi + Rinshan</t>
  </si>
  <si>
    <t>Haitei + Uradora</t>
  </si>
  <si>
    <t>Houtei + Pinfu</t>
  </si>
  <si>
    <t>Haitei + Yakuhai Dragon</t>
  </si>
  <si>
    <t>Double Riichi + Akadora</t>
  </si>
  <si>
    <t>Rinshan + Yakuhai Wind</t>
  </si>
  <si>
    <t>Iipeikou + Honitsu</t>
  </si>
  <si>
    <t>Double Riichi + Uradora</t>
  </si>
  <si>
    <t>Double Riichi + Dora</t>
  </si>
  <si>
    <t>Chiitoitsu + Honitsu</t>
  </si>
  <si>
    <t>Houtei + Yakuhai Dragon</t>
  </si>
  <si>
    <t>Iipeikou + Yakuhai Wind</t>
  </si>
  <si>
    <t>Sanankou + Uradora</t>
  </si>
  <si>
    <t>Itsu + Yakuhai Wind</t>
  </si>
  <si>
    <t>Iipeikou + Doujun</t>
  </si>
  <si>
    <t>Houtei + Uradora</t>
  </si>
  <si>
    <t>Haitei + Yakuhai Wind</t>
  </si>
  <si>
    <t>Ippatsu + Sanankou</t>
  </si>
  <si>
    <t>Rinshan + Tanyao</t>
  </si>
  <si>
    <t>Tsumo + Chanta</t>
  </si>
  <si>
    <t>Riichi + Junchan</t>
  </si>
  <si>
    <t>Houtei + Yakuhai Wind</t>
  </si>
  <si>
    <t>Shousangen + Honitsu</t>
  </si>
  <si>
    <t>Sanankou + Honitsu</t>
  </si>
  <si>
    <t>Double Riichi + Pinfu</t>
  </si>
  <si>
    <t>Rinshan + Uradora</t>
  </si>
  <si>
    <t>Itsu + Chinitsu</t>
  </si>
  <si>
    <t>Riichi + Toitoi</t>
  </si>
  <si>
    <t>Tsumo + Junchan</t>
  </si>
  <si>
    <t>Toitoi + Honroutou</t>
  </si>
  <si>
    <t>Chanta + Uradora</t>
  </si>
  <si>
    <t>Double Riichi + Chiitoitsu</t>
  </si>
  <si>
    <t>Ippatsu + Honitsu</t>
  </si>
  <si>
    <t>Honitsu + Uradora</t>
  </si>
  <si>
    <t>Yakuhai Dragon + Honroutou</t>
  </si>
  <si>
    <t>Iipeikou + Chinitsu</t>
  </si>
  <si>
    <t>Double Riichi + Ippatsu</t>
  </si>
  <si>
    <t>Rinshan + Honitsu</t>
  </si>
  <si>
    <t>Haitei + Honitsu</t>
  </si>
  <si>
    <t>Tsumo + Chinitsu</t>
  </si>
  <si>
    <t>Haitei + Iipeikou</t>
  </si>
  <si>
    <t>Pinfu + Ryanpeikou</t>
  </si>
  <si>
    <t>Tanyao + Chinitsu</t>
  </si>
  <si>
    <t>Pinfu + Junchan</t>
  </si>
  <si>
    <t>Iipeikou + Chanta</t>
  </si>
  <si>
    <t>Houtei + Iipeikou</t>
  </si>
  <si>
    <t>Pinfu + Chinitsu</t>
  </si>
  <si>
    <t>Ippatsu + Chanta</t>
  </si>
  <si>
    <t>Iipeikou + Junchan</t>
  </si>
  <si>
    <t>Ryanpeikou + Akadora</t>
  </si>
  <si>
    <t>Haitei + Doujun</t>
  </si>
  <si>
    <t>Houtei + Doujun</t>
  </si>
  <si>
    <t>Houtei + Chiitoitsu</t>
  </si>
  <si>
    <t>Yakuhai Wind + Honroutou</t>
  </si>
  <si>
    <t>Shousangen + Akadora</t>
  </si>
  <si>
    <t>Shousangen + Dora</t>
  </si>
  <si>
    <t>Iipeikou + Itsu</t>
  </si>
  <si>
    <t>Houtei + Honitsu</t>
  </si>
  <si>
    <t>Ryanpeikou + Tanyao</t>
  </si>
  <si>
    <t>Riichi + Ryanpeikou</t>
  </si>
  <si>
    <t>Tsumo + Ryanpeikou</t>
  </si>
  <si>
    <t>Toitoi + Doukou</t>
  </si>
  <si>
    <t>Junchan + Uradora</t>
  </si>
  <si>
    <t>Double Riichi + Yakuhai Dragon</t>
  </si>
  <si>
    <t>Haitei + Chiitoitsu</t>
  </si>
  <si>
    <t>Rinshan + Toitoi</t>
  </si>
  <si>
    <t>Double Riichi + Tanyao</t>
  </si>
  <si>
    <t>Pinfu + Honitsu</t>
  </si>
  <si>
    <t>Doukou + Tanyao</t>
  </si>
  <si>
    <t>Chankan + Akadora</t>
  </si>
  <si>
    <t>Toitoi + Chinitsu</t>
  </si>
  <si>
    <t>Chankan + Dora</t>
  </si>
  <si>
    <t>Rinshan + Sanankou</t>
  </si>
  <si>
    <t>Double Riichi + Yakuhai Wind</t>
  </si>
  <si>
    <t>Ippatsu + Junchan</t>
  </si>
  <si>
    <t>Honroutou + Honitsu</t>
  </si>
  <si>
    <t>Houtei + Toitoi</t>
  </si>
  <si>
    <t>Pinfu + Chanta</t>
  </si>
  <si>
    <t>Haitei + Toitoi</t>
  </si>
  <si>
    <t>Shousangen + Chanta</t>
  </si>
  <si>
    <t>Doukou + Dora</t>
  </si>
  <si>
    <t>Double Riichi + Iipeikou</t>
  </si>
  <si>
    <t>Riichi + Chinitsu</t>
  </si>
  <si>
    <t>Ryanpeikou + Dora</t>
  </si>
  <si>
    <t>Doukou + Akadora</t>
  </si>
  <si>
    <t>Haitei + Sanankou</t>
  </si>
  <si>
    <t>Chankan + Tanyao</t>
  </si>
  <si>
    <t>Shousangen + Toitoi</t>
  </si>
  <si>
    <t>Ippatsu + Toitoi</t>
  </si>
  <si>
    <t>Haitei + Itsu</t>
  </si>
  <si>
    <t>Toitoi + Uradora</t>
  </si>
  <si>
    <t>Chankan + Pinfu</t>
  </si>
  <si>
    <t>Houtei + Itsu</t>
  </si>
  <si>
    <t>Ippatsu + Haitei</t>
  </si>
  <si>
    <t>Shousangen + Yakuhai Wind</t>
  </si>
  <si>
    <t>Honroutou + Dora</t>
  </si>
  <si>
    <t>Haitei + Chinitsu</t>
  </si>
  <si>
    <t>Chankan + Yakuhai Dragon</t>
  </si>
  <si>
    <t>Double Riichi + Doujun</t>
  </si>
  <si>
    <t>Sanankou + Chinitsu</t>
  </si>
  <si>
    <t>Rinshan + Iipeikou</t>
  </si>
  <si>
    <t>Sanankou + Doukou</t>
  </si>
  <si>
    <t>Houtei + Chinitsu</t>
  </si>
  <si>
    <t>Riichi + Chankan</t>
  </si>
  <si>
    <t>Ryanpeikou + Uradora</t>
  </si>
  <si>
    <t>Ippatsu + Ryanpeikou</t>
  </si>
  <si>
    <t>Chankan + Yakuhai Wind</t>
  </si>
  <si>
    <t>Houtei + Chanta</t>
  </si>
  <si>
    <t>Ippatsu + Chinitsu</t>
  </si>
  <si>
    <t>Haitei + Chanta</t>
  </si>
  <si>
    <t>Rinshan + Doujun</t>
  </si>
  <si>
    <t>Double Riichi + Itsu</t>
  </si>
  <si>
    <t>Houtei + Sanankou</t>
  </si>
  <si>
    <t>Rinshan + Chanta</t>
  </si>
  <si>
    <t>Doukou + Yakuhai Dragon</t>
  </si>
  <si>
    <t>Ryanpeikou + Honitsu</t>
  </si>
  <si>
    <t>Chinitsu + Uradora</t>
  </si>
  <si>
    <t>Rinshan + Chinitsu</t>
  </si>
  <si>
    <t>Chiitoitsu + Honroutou</t>
  </si>
  <si>
    <t>Riichi + Doukou</t>
  </si>
  <si>
    <t>Ryanpeikou + Chinitsu</t>
  </si>
  <si>
    <t>Doukou + Yakuhai Wind</t>
  </si>
  <si>
    <t>Sanankou + Chanta</t>
  </si>
  <si>
    <t>Chankan + Doujun</t>
  </si>
  <si>
    <t>Shousangen + Honroutou</t>
  </si>
  <si>
    <t>Doukou + Honroutou</t>
  </si>
  <si>
    <t>Chankan + Uradora</t>
  </si>
  <si>
    <t>Houtei + Junchan</t>
  </si>
  <si>
    <t>Shousangen + Sanankou</t>
  </si>
  <si>
    <t>Sanankou + Honroutou</t>
  </si>
  <si>
    <t>Riichi + Shousangen</t>
  </si>
  <si>
    <t>Chiitoitsu + Chinitsu</t>
  </si>
  <si>
    <t>Tsumo + Doukou</t>
  </si>
  <si>
    <t>Rinshan + Itsu</t>
  </si>
  <si>
    <t>Double Riichi + Sanankou</t>
  </si>
  <si>
    <t>Double Riichi + Honitsu</t>
  </si>
  <si>
    <t>Tsumo + Shousangen</t>
  </si>
  <si>
    <t>Haitei + Junchan</t>
  </si>
  <si>
    <t>Riichi + Honroutou</t>
  </si>
  <si>
    <t>Double Riichi + Chanta</t>
  </si>
  <si>
    <t>Doukou + Chanta</t>
  </si>
  <si>
    <t>Doukou + Junchan</t>
  </si>
  <si>
    <t>Ryanpeikou + Chanta</t>
  </si>
  <si>
    <t>Ippatsu + Chankan</t>
  </si>
  <si>
    <t>Sankantsu + Dora</t>
  </si>
  <si>
    <t>Sankantsu + Yakuhai Dragon</t>
  </si>
  <si>
    <t>Chankan + Honitsu</t>
  </si>
  <si>
    <t>Sankantsu + Yakuhai Wind</t>
  </si>
  <si>
    <t>Chankan + Iipeikou</t>
  </si>
  <si>
    <t>Chankan + Itsu</t>
  </si>
  <si>
    <t>Ryanpeikou + Junchan</t>
  </si>
  <si>
    <t>Sankantsu + Toitoi</t>
  </si>
  <si>
    <t>Double Riichi + Haitei</t>
  </si>
  <si>
    <t>Haitei + Shousangen</t>
  </si>
  <si>
    <t>Sankantsu + Akadora</t>
  </si>
  <si>
    <t>Rinshan + Shousangen</t>
  </si>
  <si>
    <t>Tsumo + Honroutou</t>
  </si>
  <si>
    <t>Doukou + Uradora</t>
  </si>
  <si>
    <t>Houtei + Shousangen</t>
  </si>
  <si>
    <t>Double Riichi + Houtei</t>
  </si>
  <si>
    <t>Haitei + Ryanpeikou</t>
  </si>
  <si>
    <t>Double Riichi + Rinshan</t>
  </si>
  <si>
    <t>Rinshan + Honroutou</t>
  </si>
  <si>
    <t>Rinshan + Doukou</t>
  </si>
  <si>
    <t>Shousangen + Uradora</t>
  </si>
  <si>
    <t>Ippatsu + Doukou</t>
  </si>
  <si>
    <t>Sankantsu + Honitsu</t>
  </si>
  <si>
    <t>Rinshan + Sankantsu</t>
  </si>
  <si>
    <t>Rinshan + Junchan</t>
  </si>
  <si>
    <t>Houtei + Ryanpeikou</t>
  </si>
  <si>
    <t>Haitei + Doukou</t>
  </si>
  <si>
    <t>Houtei + Doukou</t>
  </si>
  <si>
    <t>Chankan + Chinitsu</t>
  </si>
  <si>
    <t>Ippatsu + Shousangen</t>
  </si>
  <si>
    <t>Double Riichi + Junchan</t>
  </si>
  <si>
    <t>Chankan + Chanta</t>
  </si>
  <si>
    <t>Honroutou + Uradora</t>
  </si>
  <si>
    <t>Ippatsu + Honroutou</t>
  </si>
  <si>
    <t>Chankan + Junchan</t>
  </si>
  <si>
    <t>Haitei + Honroutou</t>
  </si>
  <si>
    <t>Houtei + Honroutou</t>
  </si>
  <si>
    <t>Shousangen + Iipeikou</t>
  </si>
  <si>
    <t>Sankantsu + Sanankou</t>
  </si>
  <si>
    <t>Sankantsu + Tanyao</t>
  </si>
  <si>
    <t>Sanankou + Junchan</t>
  </si>
  <si>
    <t>Chankan + Sanankou</t>
  </si>
  <si>
    <t>Haitei + Sankantsu</t>
  </si>
  <si>
    <t>Riichi + Sankantsu</t>
  </si>
  <si>
    <t>Double Riichi + Toitoi</t>
  </si>
  <si>
    <t>Junchan + Chinitsu</t>
  </si>
  <si>
    <t>Double Riichi + Chinitsu</t>
  </si>
  <si>
    <t>Double Riichi + Ryanpeikou</t>
  </si>
  <si>
    <t>Ippatsu + Sankantsu</t>
  </si>
  <si>
    <t>Sankantsu + Honroutou</t>
  </si>
  <si>
    <t>Sankantsu + Uradora</t>
  </si>
  <si>
    <t>Double Riichi + Doukou</t>
  </si>
  <si>
    <t>Double Riichi + Honroutou</t>
  </si>
  <si>
    <t>Double Riichi + Shousangen</t>
  </si>
  <si>
    <t>Sankantsu + Chanta</t>
  </si>
  <si>
    <t>Sankantsu + Chinitsu</t>
  </si>
  <si>
    <t>Sankantsu + Doukou</t>
  </si>
  <si>
    <t>Tsumo + Sankantsu</t>
  </si>
  <si>
    <t>Yaku</t>
  </si>
  <si>
    <t>Akadora</t>
  </si>
  <si>
    <t>Riichi</t>
  </si>
  <si>
    <t>Dora</t>
  </si>
  <si>
    <t>Tsumo</t>
  </si>
  <si>
    <t>Yakuhai Dragon</t>
  </si>
  <si>
    <t>Tanyao</t>
  </si>
  <si>
    <t>Pinfu</t>
  </si>
  <si>
    <t>Yakuhai Wind</t>
  </si>
  <si>
    <t>Uradora</t>
  </si>
  <si>
    <t>Ippatsu</t>
  </si>
  <si>
    <t>Honitsu</t>
  </si>
  <si>
    <t>Iipeikou</t>
  </si>
  <si>
    <t>Doujun</t>
  </si>
  <si>
    <t>Chiitoitsu</t>
  </si>
  <si>
    <t>Toitoi</t>
  </si>
  <si>
    <t>Itsu</t>
  </si>
  <si>
    <t>Chanta</t>
  </si>
  <si>
    <t>Sanankou</t>
  </si>
  <si>
    <t>Chinitsu</t>
  </si>
  <si>
    <t>Haitei</t>
  </si>
  <si>
    <t>Houtei</t>
  </si>
  <si>
    <t>Junchan</t>
  </si>
  <si>
    <t>Rinshan</t>
  </si>
  <si>
    <t>Shousangen</t>
  </si>
  <si>
    <t>Ryanpeikou</t>
  </si>
  <si>
    <t>Doukou</t>
  </si>
  <si>
    <t>Honroutou</t>
  </si>
  <si>
    <t>Chankan</t>
  </si>
  <si>
    <t>Sankantsu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</si>
</sst>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sz val="10.0"/>
      <color rgb="FF000000"/>
      <name val="Arial"/>
      <scheme val="minor"/>
    </font>
  </fonts>
  <fills count="2">
    <fill>
      <patternFill patternType="none"/>
    </fill>
    <fill>
      <patternFill patternType="lightGray"/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1" fillId="0" fontId="2" numFmtId="0" xfId="0" applyAlignment="1" applyBorder="1" applyFont="1">
      <alignment horizontal="center" readingOrder="0"/>
    </xf>
    <xf borderId="2" fillId="0" fontId="1" numFmtId="0" xfId="0" applyBorder="1" applyFont="1"/>
    <xf borderId="2" fillId="0" fontId="1" numFmtId="10" xfId="0" applyBorder="1" applyFont="1" applyNumberFormat="1"/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horizontal="center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75"/>
    <col customWidth="1" min="2" max="2" width="8.38"/>
    <col customWidth="1" min="3" max="3" width="10.38"/>
  </cols>
  <sheetData>
    <row r="1">
      <c r="A1" s="1" t="s">
        <v>0</v>
      </c>
    </row>
    <row r="2">
      <c r="A2" s="1" t="s">
        <v>1</v>
      </c>
      <c r="B2" s="2">
        <f>Selector!B2</f>
        <v>21929</v>
      </c>
    </row>
    <row r="3">
      <c r="A3" s="3" t="s">
        <v>2</v>
      </c>
      <c r="B3" s="3" t="s">
        <v>3</v>
      </c>
      <c r="C3" s="3" t="s">
        <v>4</v>
      </c>
    </row>
    <row r="4">
      <c r="A4" s="4" t="str">
        <f>IF(EXACT(Selector!C3, A$1), Selector!D3, Selector!C3)</f>
        <v>Tsumo</v>
      </c>
      <c r="B4" s="4">
        <f>Selector!B3</f>
        <v>10789</v>
      </c>
      <c r="C4" s="5">
        <f t="shared" ref="C4:C31" si="1">B4/B$2</f>
        <v>0.4919968991</v>
      </c>
    </row>
    <row r="5">
      <c r="A5" s="4" t="str">
        <f>IF(EXACT(Selector!C4, A$1), Selector!D4, Selector!C4)</f>
        <v>Akadora</v>
      </c>
      <c r="B5" s="4">
        <f>Selector!B4</f>
        <v>7370</v>
      </c>
      <c r="C5" s="5">
        <f t="shared" si="1"/>
        <v>0.3360846368</v>
      </c>
    </row>
    <row r="6">
      <c r="A6" s="4" t="str">
        <f>IF(EXACT(Selector!C5, A$1), Selector!D5, Selector!C5)</f>
        <v>Uradora</v>
      </c>
      <c r="B6" s="4">
        <f>Selector!B5</f>
        <v>6538</v>
      </c>
      <c r="C6" s="5">
        <f t="shared" si="1"/>
        <v>0.2981440102</v>
      </c>
    </row>
    <row r="7">
      <c r="A7" s="4" t="str">
        <f>IF(EXACT(Selector!C6, A$1), Selector!D6, Selector!C6)</f>
        <v>Dora</v>
      </c>
      <c r="B7" s="4">
        <f>Selector!B6</f>
        <v>6397</v>
      </c>
      <c r="C7" s="5">
        <f t="shared" si="1"/>
        <v>0.2917141685</v>
      </c>
    </row>
    <row r="8">
      <c r="A8" s="4" t="str">
        <f>IF(EXACT(Selector!C7, A$1), Selector!D7, Selector!C7)</f>
        <v>Pinfu</v>
      </c>
      <c r="B8" s="4">
        <f>Selector!B7</f>
        <v>3868</v>
      </c>
      <c r="C8" s="5">
        <f t="shared" si="1"/>
        <v>0.1763874322</v>
      </c>
    </row>
    <row r="9">
      <c r="A9" s="4" t="str">
        <f>IF(EXACT(Selector!C8, A$1), Selector!D8, Selector!C8)</f>
        <v>Chiitoitsu</v>
      </c>
      <c r="B9" s="4">
        <f>Selector!B8</f>
        <v>2727</v>
      </c>
      <c r="C9" s="5">
        <f t="shared" si="1"/>
        <v>0.1243558758</v>
      </c>
    </row>
    <row r="10">
      <c r="A10" s="4" t="str">
        <f>IF(EXACT(Selector!C9, A$1), Selector!D9, Selector!C9)</f>
        <v>Ippatsu</v>
      </c>
      <c r="B10" s="4">
        <f>Selector!B9</f>
        <v>2445</v>
      </c>
      <c r="C10" s="5">
        <f t="shared" si="1"/>
        <v>0.1114961923</v>
      </c>
    </row>
    <row r="11">
      <c r="A11" s="4" t="str">
        <f>IF(EXACT(Selector!C10, A$1), Selector!D10, Selector!C10)</f>
        <v>Yakuhai Dragon</v>
      </c>
      <c r="B11" s="4">
        <f>Selector!B10</f>
        <v>1354</v>
      </c>
      <c r="C11" s="5">
        <f t="shared" si="1"/>
        <v>0.0617447216</v>
      </c>
    </row>
    <row r="12">
      <c r="A12" s="4" t="str">
        <f>IF(EXACT(Selector!C11, A$1), Selector!D11, Selector!C11)</f>
        <v>Tanyao</v>
      </c>
      <c r="B12" s="4">
        <f>Selector!B11</f>
        <v>1253</v>
      </c>
      <c r="C12" s="5">
        <f t="shared" si="1"/>
        <v>0.05713894842</v>
      </c>
    </row>
    <row r="13">
      <c r="A13" s="4" t="str">
        <f>IF(EXACT(Selector!C12, A$1), Selector!D12, Selector!C12)</f>
        <v>Yakuhai Wind</v>
      </c>
      <c r="B13" s="4">
        <f>Selector!B12</f>
        <v>893</v>
      </c>
      <c r="C13" s="5">
        <f t="shared" si="1"/>
        <v>0.04072233116</v>
      </c>
    </row>
    <row r="14">
      <c r="A14" s="4" t="str">
        <f>IF(EXACT(Selector!C13, A$1), Selector!D13, Selector!C13)</f>
        <v>Iipeikou</v>
      </c>
      <c r="B14" s="4">
        <f>Selector!B13</f>
        <v>785</v>
      </c>
      <c r="C14" s="5">
        <f t="shared" si="1"/>
        <v>0.03579734598</v>
      </c>
    </row>
    <row r="15">
      <c r="A15" s="4" t="str">
        <f>IF(EXACT(Selector!C14, A$1), Selector!D14, Selector!C14)</f>
        <v>Doujun</v>
      </c>
      <c r="B15" s="4">
        <f>Selector!B14</f>
        <v>393</v>
      </c>
      <c r="C15" s="5">
        <f t="shared" si="1"/>
        <v>0.01792147385</v>
      </c>
    </row>
    <row r="16">
      <c r="A16" s="4" t="str">
        <f>IF(EXACT(Selector!C15, A$1), Selector!D15, Selector!C15)</f>
        <v>Itsu</v>
      </c>
      <c r="B16" s="4">
        <f>Selector!B15</f>
        <v>215</v>
      </c>
      <c r="C16" s="5">
        <f t="shared" si="1"/>
        <v>0.009804368644</v>
      </c>
    </row>
    <row r="17">
      <c r="A17" s="4" t="str">
        <f>IF(EXACT(Selector!C16, A$1), Selector!D16, Selector!C16)</f>
        <v>Sanankou</v>
      </c>
      <c r="B17" s="4">
        <f>Selector!B16</f>
        <v>67</v>
      </c>
      <c r="C17" s="5">
        <f t="shared" si="1"/>
        <v>0.00305531488</v>
      </c>
    </row>
    <row r="18">
      <c r="A18" s="4" t="str">
        <f>IF(EXACT(Selector!C17, A$1), Selector!D17, Selector!C17)</f>
        <v>Honitsu</v>
      </c>
      <c r="B18" s="4">
        <f>Selector!B17</f>
        <v>66</v>
      </c>
      <c r="C18" s="5">
        <f t="shared" si="1"/>
        <v>0.003009713165</v>
      </c>
    </row>
    <row r="19">
      <c r="A19" s="4" t="str">
        <f>IF(EXACT(Selector!C18, A$1), Selector!D18, Selector!C18)</f>
        <v>Chanta</v>
      </c>
      <c r="B19" s="4">
        <f>Selector!B18</f>
        <v>61</v>
      </c>
      <c r="C19" s="5">
        <f t="shared" si="1"/>
        <v>0.002781704592</v>
      </c>
    </row>
    <row r="20">
      <c r="A20" s="4" t="str">
        <f>IF(EXACT(Selector!C19, A$1), Selector!D19, Selector!C19)</f>
        <v>Haitei</v>
      </c>
      <c r="B20" s="4">
        <f>Selector!B19</f>
        <v>39</v>
      </c>
      <c r="C20" s="5">
        <f t="shared" si="1"/>
        <v>0.00177846687</v>
      </c>
    </row>
    <row r="21">
      <c r="A21" s="4" t="str">
        <f>IF(EXACT(Selector!C20, A$1), Selector!D20, Selector!C20)</f>
        <v>Houtei</v>
      </c>
      <c r="B21" s="4">
        <f>Selector!B20</f>
        <v>27</v>
      </c>
      <c r="C21" s="5">
        <f t="shared" si="1"/>
        <v>0.001231246295</v>
      </c>
    </row>
    <row r="22">
      <c r="A22" s="4" t="str">
        <f>IF(EXACT(Selector!C21, A$1), Selector!D21, Selector!C21)</f>
        <v>Rinshan</v>
      </c>
      <c r="B22" s="4">
        <f>Selector!B21</f>
        <v>25</v>
      </c>
      <c r="C22" s="5">
        <f t="shared" si="1"/>
        <v>0.001140042866</v>
      </c>
    </row>
    <row r="23">
      <c r="A23" s="4" t="str">
        <f>IF(EXACT(Selector!C22, A$1), Selector!D22, Selector!C22)</f>
        <v>Junchan</v>
      </c>
      <c r="B23" s="4">
        <f>Selector!B22</f>
        <v>14</v>
      </c>
      <c r="C23" s="5">
        <f t="shared" si="1"/>
        <v>0.0006384240047</v>
      </c>
    </row>
    <row r="24">
      <c r="A24" s="4" t="str">
        <f>IF(EXACT(Selector!C23, A$1), Selector!D23, Selector!C23)</f>
        <v>Toitoi</v>
      </c>
      <c r="B24" s="4">
        <f>Selector!B23</f>
        <v>3</v>
      </c>
      <c r="C24" s="5">
        <f t="shared" si="1"/>
        <v>0.0001368051439</v>
      </c>
    </row>
    <row r="25">
      <c r="A25" s="4" t="str">
        <f>IF(EXACT(Selector!C24, A$1), Selector!D24, Selector!C24)</f>
        <v>Chinitsu</v>
      </c>
      <c r="B25" s="4">
        <f>Selector!B24</f>
        <v>2</v>
      </c>
      <c r="C25" s="5">
        <f t="shared" si="1"/>
        <v>0.00009120342925</v>
      </c>
    </row>
    <row r="26">
      <c r="A26" s="4" t="str">
        <f>IF(EXACT(Selector!C25, A$1), Selector!D25, Selector!C25)</f>
        <v>Ryanpeikou</v>
      </c>
      <c r="B26" s="4">
        <f>Selector!B25</f>
        <v>2</v>
      </c>
      <c r="C26" s="5">
        <f t="shared" si="1"/>
        <v>0.00009120342925</v>
      </c>
    </row>
    <row r="27">
      <c r="A27" s="4" t="str">
        <f>IF(EXACT(Selector!C26, A$1), Selector!D26, Selector!C26)</f>
        <v>Doukou</v>
      </c>
      <c r="B27" s="4">
        <f>Selector!B26</f>
        <v>1</v>
      </c>
      <c r="C27" s="5">
        <f t="shared" si="1"/>
        <v>0.00004560171462</v>
      </c>
    </row>
    <row r="28">
      <c r="A28" s="4" t="str">
        <f>IF(EXACT(Selector!C27, A$1), Selector!D27, Selector!C27)</f>
        <v>Honroutou</v>
      </c>
      <c r="B28" s="4">
        <f>Selector!B27</f>
        <v>1</v>
      </c>
      <c r="C28" s="5">
        <f t="shared" si="1"/>
        <v>0.00004560171462</v>
      </c>
    </row>
    <row r="29">
      <c r="A29" s="4" t="str">
        <f>IF(EXACT(Selector!C28, A$1), Selector!D28, Selector!C28)</f>
        <v>Shousangen</v>
      </c>
      <c r="B29" s="4">
        <f>Selector!B28</f>
        <v>1</v>
      </c>
      <c r="C29" s="5">
        <f t="shared" si="1"/>
        <v>0.00004560171462</v>
      </c>
    </row>
    <row r="30">
      <c r="A30" s="4" t="str">
        <f>IF(EXACT(Selector!C29, A$1), Selector!D29, Selector!C29)</f>
        <v/>
      </c>
      <c r="B30" s="4" t="str">
        <f>Selector!B29</f>
        <v/>
      </c>
      <c r="C30" s="5">
        <f t="shared" si="1"/>
        <v>0</v>
      </c>
    </row>
    <row r="31">
      <c r="A31" s="4" t="str">
        <f>IF(EXACT(Selector!C30, A$1), Selector!D30, Selector!C30)</f>
        <v/>
      </c>
      <c r="B31" s="4" t="str">
        <f>Selector!B30</f>
        <v/>
      </c>
      <c r="C31" s="5">
        <f t="shared" si="1"/>
        <v>0</v>
      </c>
    </row>
    <row r="32">
      <c r="A32" s="2" t="str">
        <f>Selector!A31</f>
        <v/>
      </c>
      <c r="B32" s="2" t="str">
        <f>Selector!B31</f>
        <v/>
      </c>
    </row>
    <row r="33">
      <c r="A33" s="2" t="str">
        <f>Selector!A32</f>
        <v/>
      </c>
      <c r="B33" s="2" t="str">
        <f>Selector!B32</f>
        <v/>
      </c>
    </row>
    <row r="34">
      <c r="A34" s="2" t="str">
        <f>Selector!A33</f>
        <v/>
      </c>
      <c r="B34" s="2" t="str">
        <f>Selector!B33</f>
        <v/>
      </c>
    </row>
    <row r="35">
      <c r="A35" s="2" t="str">
        <f>Selector!A34</f>
        <v/>
      </c>
      <c r="B35" s="2" t="str">
        <f>Selector!B34</f>
        <v/>
      </c>
    </row>
    <row r="36">
      <c r="A36" s="2" t="str">
        <f>Selector!A35</f>
        <v/>
      </c>
      <c r="B36" s="2" t="str">
        <f>Selector!B35</f>
        <v/>
      </c>
    </row>
    <row r="37">
      <c r="A37" s="2" t="str">
        <f>Selector!A36</f>
        <v/>
      </c>
      <c r="B37" s="2" t="str">
        <f>Selector!B36</f>
        <v/>
      </c>
    </row>
    <row r="38">
      <c r="A38" s="2" t="str">
        <f>Selector!A37</f>
        <v/>
      </c>
      <c r="B38" s="2" t="str">
        <f>Selector!B37</f>
        <v/>
      </c>
    </row>
    <row r="39">
      <c r="A39" s="2" t="str">
        <f>Selector!A38</f>
        <v/>
      </c>
      <c r="B39" s="2" t="str">
        <f>Selector!B38</f>
        <v/>
      </c>
    </row>
    <row r="40">
      <c r="A40" s="2" t="str">
        <f>Selector!A39</f>
        <v/>
      </c>
      <c r="B40" s="2" t="str">
        <f>Selector!B39</f>
        <v/>
      </c>
    </row>
    <row r="41">
      <c r="A41" s="2" t="str">
        <f>Selector!A40</f>
        <v/>
      </c>
      <c r="B41" s="2" t="str">
        <f>Selector!B40</f>
        <v/>
      </c>
    </row>
    <row r="42">
      <c r="A42" s="2" t="str">
        <f>Selector!A41</f>
        <v/>
      </c>
      <c r="B42" s="2" t="str">
        <f>Selector!B41</f>
        <v/>
      </c>
    </row>
    <row r="43">
      <c r="A43" s="2" t="str">
        <f>Selector!A42</f>
        <v/>
      </c>
      <c r="B43" s="2" t="str">
        <f>Selector!B42</f>
        <v/>
      </c>
    </row>
    <row r="44">
      <c r="A44" s="2" t="str">
        <f>Selector!A43</f>
        <v/>
      </c>
      <c r="B44" s="2" t="str">
        <f>Selector!B43</f>
        <v/>
      </c>
    </row>
    <row r="45">
      <c r="A45" s="2" t="str">
        <f>Selector!A44</f>
        <v/>
      </c>
      <c r="B45" s="2" t="str">
        <f>Selector!B44</f>
        <v/>
      </c>
    </row>
    <row r="46">
      <c r="A46" s="2" t="str">
        <f>Selector!A45</f>
        <v/>
      </c>
      <c r="B46" s="2" t="str">
        <f>Selector!B45</f>
        <v/>
      </c>
    </row>
  </sheetData>
  <dataValidations>
    <dataValidation type="list" allowBlank="1" sqref="A1">
      <formula1>'Yaku Totals'!$A$2:$A$40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5.75"/>
    <col customWidth="1" min="2" max="2" width="10.88"/>
    <col customWidth="1" min="3" max="4" width="12.38"/>
  </cols>
  <sheetData>
    <row r="1">
      <c r="A1" s="6" t="s">
        <v>2</v>
      </c>
      <c r="B1" s="7" t="s">
        <v>5</v>
      </c>
      <c r="C1" s="1" t="s">
        <v>6</v>
      </c>
      <c r="D1" s="1" t="s">
        <v>7</v>
      </c>
    </row>
    <row r="2">
      <c r="A2" s="1" t="s">
        <v>8</v>
      </c>
      <c r="B2" s="1">
        <v>2174668.0</v>
      </c>
      <c r="C2" s="2" t="str">
        <f>IFERROR(__xludf.DUMMYFUNCTION("SPLIT(A2, "" + "", FALSE)"),"Riichi")</f>
        <v>Riichi</v>
      </c>
      <c r="D2" s="2" t="str">
        <f>IFERROR(__xludf.DUMMYFUNCTION("""COMPUTED_VALUE"""),"Tsumo")</f>
        <v>Tsumo</v>
      </c>
    </row>
    <row r="3">
      <c r="A3" s="1" t="s">
        <v>9</v>
      </c>
      <c r="B3" s="1">
        <v>1851894.0</v>
      </c>
      <c r="C3" s="2" t="str">
        <f>IFERROR(__xludf.DUMMYFUNCTION("SPLIT(A3, "" + "", FALSE)"),"Riichi")</f>
        <v>Riichi</v>
      </c>
      <c r="D3" s="2" t="str">
        <f>IFERROR(__xludf.DUMMYFUNCTION("""COMPUTED_VALUE"""),"Akadora")</f>
        <v>Akadora</v>
      </c>
    </row>
    <row r="4">
      <c r="A4" s="1" t="s">
        <v>10</v>
      </c>
      <c r="B4" s="1">
        <v>1819228.0</v>
      </c>
      <c r="C4" s="2" t="str">
        <f>IFERROR(__xludf.DUMMYFUNCTION("SPLIT(A4, "" + "", FALSE)"),"Dora")</f>
        <v>Dora</v>
      </c>
      <c r="D4" s="2" t="str">
        <f>IFERROR(__xludf.DUMMYFUNCTION("""COMPUTED_VALUE"""),"Akadora")</f>
        <v>Akadora</v>
      </c>
    </row>
    <row r="5">
      <c r="A5" s="1" t="s">
        <v>11</v>
      </c>
      <c r="B5" s="1">
        <v>1628244.0</v>
      </c>
      <c r="C5" s="2" t="str">
        <f>IFERROR(__xludf.DUMMYFUNCTION("SPLIT(A5, "" + "", FALSE)"),"Riichi")</f>
        <v>Riichi</v>
      </c>
      <c r="D5" s="2" t="str">
        <f>IFERROR(__xludf.DUMMYFUNCTION("""COMPUTED_VALUE"""),"Dora")</f>
        <v>Dora</v>
      </c>
    </row>
    <row r="6">
      <c r="A6" s="1" t="s">
        <v>12</v>
      </c>
      <c r="B6" s="1">
        <v>1521292.0</v>
      </c>
      <c r="C6" s="2" t="str">
        <f>IFERROR(__xludf.DUMMYFUNCTION("SPLIT(A6, "" + "", FALSE)"),"Riichi")</f>
        <v>Riichi</v>
      </c>
      <c r="D6" s="2" t="str">
        <f>IFERROR(__xludf.DUMMYFUNCTION("""COMPUTED_VALUE"""),"Pinfu")</f>
        <v>Pinfu</v>
      </c>
    </row>
    <row r="7">
      <c r="A7" s="1" t="s">
        <v>13</v>
      </c>
      <c r="B7" s="1">
        <v>1417447.0</v>
      </c>
      <c r="C7" s="2" t="str">
        <f>IFERROR(__xludf.DUMMYFUNCTION("SPLIT(A7, "" + "", FALSE)"),"Tanyao")</f>
        <v>Tanyao</v>
      </c>
      <c r="D7" s="2" t="str">
        <f>IFERROR(__xludf.DUMMYFUNCTION("""COMPUTED_VALUE"""),"Akadora")</f>
        <v>Akadora</v>
      </c>
    </row>
    <row r="8">
      <c r="A8" s="1" t="s">
        <v>14</v>
      </c>
      <c r="B8" s="1">
        <v>1368890.0</v>
      </c>
      <c r="C8" s="2" t="str">
        <f>IFERROR(__xludf.DUMMYFUNCTION("SPLIT(A8, "" + "", FALSE)"),"Riichi")</f>
        <v>Riichi</v>
      </c>
      <c r="D8" s="2" t="str">
        <f>IFERROR(__xludf.DUMMYFUNCTION("""COMPUTED_VALUE"""),"Uradora")</f>
        <v>Uradora</v>
      </c>
    </row>
    <row r="9">
      <c r="A9" s="1" t="s">
        <v>15</v>
      </c>
      <c r="B9" s="1">
        <v>1207335.0</v>
      </c>
      <c r="C9" s="2" t="str">
        <f>IFERROR(__xludf.DUMMYFUNCTION("SPLIT(A9, "" + "", FALSE)"),"Tsumo")</f>
        <v>Tsumo</v>
      </c>
      <c r="D9" s="2" t="str">
        <f>IFERROR(__xludf.DUMMYFUNCTION("""COMPUTED_VALUE"""),"Akadora")</f>
        <v>Akadora</v>
      </c>
    </row>
    <row r="10">
      <c r="A10" s="1" t="s">
        <v>16</v>
      </c>
      <c r="B10" s="1">
        <v>1055276.0</v>
      </c>
      <c r="C10" s="2" t="str">
        <f>IFERROR(__xludf.DUMMYFUNCTION("SPLIT(A10, "" + "", FALSE)"),"Tsumo")</f>
        <v>Tsumo</v>
      </c>
      <c r="D10" s="2" t="str">
        <f>IFERROR(__xludf.DUMMYFUNCTION("""COMPUTED_VALUE"""),"Dora")</f>
        <v>Dora</v>
      </c>
    </row>
    <row r="11">
      <c r="A11" s="1" t="s">
        <v>17</v>
      </c>
      <c r="B11" s="1">
        <v>1020269.0</v>
      </c>
      <c r="C11" s="2" t="str">
        <f>IFERROR(__xludf.DUMMYFUNCTION("SPLIT(A11, "" + "", FALSE)"),"Pinfu")</f>
        <v>Pinfu</v>
      </c>
      <c r="D11" s="2" t="str">
        <f>IFERROR(__xludf.DUMMYFUNCTION("""COMPUTED_VALUE"""),"Akadora")</f>
        <v>Akadora</v>
      </c>
    </row>
    <row r="12">
      <c r="A12" s="1" t="s">
        <v>18</v>
      </c>
      <c r="B12" s="1">
        <v>1012200.0</v>
      </c>
      <c r="C12" s="2" t="str">
        <f>IFERROR(__xludf.DUMMYFUNCTION("SPLIT(A12, "" + "", FALSE)"),"Tsumo")</f>
        <v>Tsumo</v>
      </c>
      <c r="D12" s="2" t="str">
        <f>IFERROR(__xludf.DUMMYFUNCTION("""COMPUTED_VALUE"""),"Pinfu")</f>
        <v>Pinfu</v>
      </c>
    </row>
    <row r="13">
      <c r="A13" s="1" t="s">
        <v>19</v>
      </c>
      <c r="B13" s="1">
        <v>984295.0</v>
      </c>
      <c r="C13" s="2" t="str">
        <f>IFERROR(__xludf.DUMMYFUNCTION("SPLIT(A13, "" + "", FALSE)"),"Tanyao")</f>
        <v>Tanyao</v>
      </c>
      <c r="D13" s="2" t="str">
        <f>IFERROR(__xludf.DUMMYFUNCTION("""COMPUTED_VALUE"""),"Dora")</f>
        <v>Dora</v>
      </c>
    </row>
    <row r="14">
      <c r="A14" s="1" t="s">
        <v>20</v>
      </c>
      <c r="B14" s="1">
        <v>928856.0</v>
      </c>
      <c r="C14" s="2" t="str">
        <f>IFERROR(__xludf.DUMMYFUNCTION("SPLIT(A14, "" + "", FALSE)"),"Yakuhai Dragon")</f>
        <v>Yakuhai Dragon</v>
      </c>
      <c r="D14" s="2" t="str">
        <f>IFERROR(__xludf.DUMMYFUNCTION("""COMPUTED_VALUE"""),"Dora")</f>
        <v>Dora</v>
      </c>
    </row>
    <row r="15">
      <c r="A15" s="1" t="s">
        <v>21</v>
      </c>
      <c r="B15" s="1">
        <v>925823.0</v>
      </c>
      <c r="C15" s="2" t="str">
        <f>IFERROR(__xludf.DUMMYFUNCTION("SPLIT(A15, "" + "", FALSE)"),"Yakuhai Dragon")</f>
        <v>Yakuhai Dragon</v>
      </c>
      <c r="D15" s="2" t="str">
        <f>IFERROR(__xludf.DUMMYFUNCTION("""COMPUTED_VALUE"""),"Akadora")</f>
        <v>Akadora</v>
      </c>
    </row>
    <row r="16">
      <c r="A16" s="1" t="s">
        <v>22</v>
      </c>
      <c r="B16" s="1">
        <v>846541.0</v>
      </c>
      <c r="C16" s="2" t="str">
        <f>IFERROR(__xludf.DUMMYFUNCTION("SPLIT(A16, "" + "", FALSE)"),"Pinfu")</f>
        <v>Pinfu</v>
      </c>
      <c r="D16" s="2" t="str">
        <f>IFERROR(__xludf.DUMMYFUNCTION("""COMPUTED_VALUE"""),"Dora")</f>
        <v>Dora</v>
      </c>
    </row>
    <row r="17">
      <c r="A17" s="1" t="s">
        <v>23</v>
      </c>
      <c r="B17" s="1">
        <v>808324.0</v>
      </c>
      <c r="C17" s="2" t="str">
        <f>IFERROR(__xludf.DUMMYFUNCTION("SPLIT(A17, "" + "", FALSE)"),"Riichi")</f>
        <v>Riichi</v>
      </c>
      <c r="D17" s="2" t="str">
        <f>IFERROR(__xludf.DUMMYFUNCTION("""COMPUTED_VALUE"""),"Ippatsu")</f>
        <v>Ippatsu</v>
      </c>
    </row>
    <row r="18">
      <c r="A18" s="1" t="s">
        <v>24</v>
      </c>
      <c r="B18" s="1">
        <v>695240.0</v>
      </c>
      <c r="C18" s="2" t="str">
        <f>IFERROR(__xludf.DUMMYFUNCTION("SPLIT(A18, "" + "", FALSE)"),"Tsumo")</f>
        <v>Tsumo</v>
      </c>
      <c r="D18" s="2" t="str">
        <f>IFERROR(__xludf.DUMMYFUNCTION("""COMPUTED_VALUE"""),"Uradora")</f>
        <v>Uradora</v>
      </c>
    </row>
    <row r="19">
      <c r="A19" s="1" t="s">
        <v>25</v>
      </c>
      <c r="B19" s="1">
        <v>644411.0</v>
      </c>
      <c r="C19" s="2" t="str">
        <f>IFERROR(__xludf.DUMMYFUNCTION("SPLIT(A19, "" + "", FALSE)"),"Yakuhai Wind")</f>
        <v>Yakuhai Wind</v>
      </c>
      <c r="D19" s="2" t="str">
        <f>IFERROR(__xludf.DUMMYFUNCTION("""COMPUTED_VALUE"""),"Dora")</f>
        <v>Dora</v>
      </c>
    </row>
    <row r="20">
      <c r="A20" s="1" t="s">
        <v>26</v>
      </c>
      <c r="B20" s="1">
        <v>644001.0</v>
      </c>
      <c r="C20" s="2" t="str">
        <f>IFERROR(__xludf.DUMMYFUNCTION("SPLIT(A20, "" + "", FALSE)"),"Yakuhai Wind")</f>
        <v>Yakuhai Wind</v>
      </c>
      <c r="D20" s="2" t="str">
        <f>IFERROR(__xludf.DUMMYFUNCTION("""COMPUTED_VALUE"""),"Akadora")</f>
        <v>Akadora</v>
      </c>
    </row>
    <row r="21">
      <c r="A21" s="1" t="s">
        <v>27</v>
      </c>
      <c r="B21" s="1">
        <v>590720.0</v>
      </c>
      <c r="C21" s="2" t="str">
        <f>IFERROR(__xludf.DUMMYFUNCTION("SPLIT(A21, "" + "", FALSE)"),"Riichi")</f>
        <v>Riichi</v>
      </c>
      <c r="D21" s="2" t="str">
        <f>IFERROR(__xludf.DUMMYFUNCTION("""COMPUTED_VALUE"""),"Tanyao")</f>
        <v>Tanyao</v>
      </c>
    </row>
    <row r="22">
      <c r="A22" s="1" t="s">
        <v>28</v>
      </c>
      <c r="B22" s="1">
        <v>590186.0</v>
      </c>
      <c r="C22" s="2" t="str">
        <f>IFERROR(__xludf.DUMMYFUNCTION("SPLIT(A22, "" + "", FALSE)"),"Akadora")</f>
        <v>Akadora</v>
      </c>
      <c r="D22" s="2" t="str">
        <f>IFERROR(__xludf.DUMMYFUNCTION("""COMPUTED_VALUE"""),"Uradora")</f>
        <v>Uradora</v>
      </c>
    </row>
    <row r="23">
      <c r="A23" s="1" t="s">
        <v>29</v>
      </c>
      <c r="B23" s="1">
        <v>529279.0</v>
      </c>
      <c r="C23" s="2" t="str">
        <f>IFERROR(__xludf.DUMMYFUNCTION("SPLIT(A23, "" + "", FALSE)"),"Dora")</f>
        <v>Dora</v>
      </c>
      <c r="D23" s="2" t="str">
        <f>IFERROR(__xludf.DUMMYFUNCTION("""COMPUTED_VALUE"""),"Uradora")</f>
        <v>Uradora</v>
      </c>
    </row>
    <row r="24">
      <c r="A24" s="1" t="s">
        <v>30</v>
      </c>
      <c r="B24" s="1">
        <v>512134.0</v>
      </c>
      <c r="C24" s="2" t="str">
        <f>IFERROR(__xludf.DUMMYFUNCTION("SPLIT(A24, "" + "", FALSE)"),"Pinfu")</f>
        <v>Pinfu</v>
      </c>
      <c r="D24" s="2" t="str">
        <f>IFERROR(__xludf.DUMMYFUNCTION("""COMPUTED_VALUE"""),"Uradora")</f>
        <v>Uradora</v>
      </c>
    </row>
    <row r="25">
      <c r="A25" s="1" t="s">
        <v>31</v>
      </c>
      <c r="B25" s="1">
        <v>469397.0</v>
      </c>
      <c r="C25" s="2" t="str">
        <f>IFERROR(__xludf.DUMMYFUNCTION("SPLIT(A25, "" + "", FALSE)"),"Tsumo")</f>
        <v>Tsumo</v>
      </c>
      <c r="D25" s="2" t="str">
        <f>IFERROR(__xludf.DUMMYFUNCTION("""COMPUTED_VALUE"""),"Tanyao")</f>
        <v>Tanyao</v>
      </c>
    </row>
    <row r="26">
      <c r="A26" s="1" t="s">
        <v>32</v>
      </c>
      <c r="B26" s="1">
        <v>448159.0</v>
      </c>
      <c r="C26" s="2" t="str">
        <f>IFERROR(__xludf.DUMMYFUNCTION("SPLIT(A26, "" + "", FALSE)"),"Pinfu")</f>
        <v>Pinfu</v>
      </c>
      <c r="D26" s="2" t="str">
        <f>IFERROR(__xludf.DUMMYFUNCTION("""COMPUTED_VALUE"""),"Tanyao")</f>
        <v>Tanyao</v>
      </c>
    </row>
    <row r="27">
      <c r="A27" s="1" t="s">
        <v>33</v>
      </c>
      <c r="B27" s="1">
        <v>404345.0</v>
      </c>
      <c r="C27" s="2" t="str">
        <f>IFERROR(__xludf.DUMMYFUNCTION("SPLIT(A27, "" + "", FALSE)"),"Ippatsu")</f>
        <v>Ippatsu</v>
      </c>
      <c r="D27" s="2" t="str">
        <f>IFERROR(__xludf.DUMMYFUNCTION("""COMPUTED_VALUE"""),"Tsumo")</f>
        <v>Tsumo</v>
      </c>
    </row>
    <row r="28">
      <c r="A28" s="1" t="s">
        <v>34</v>
      </c>
      <c r="B28" s="1">
        <v>351623.0</v>
      </c>
      <c r="C28" s="2" t="str">
        <f>IFERROR(__xludf.DUMMYFUNCTION("SPLIT(A28, "" + "", FALSE)"),"Ippatsu")</f>
        <v>Ippatsu</v>
      </c>
      <c r="D28" s="2" t="str">
        <f>IFERROR(__xludf.DUMMYFUNCTION("""COMPUTED_VALUE"""),"Akadora")</f>
        <v>Akadora</v>
      </c>
    </row>
    <row r="29">
      <c r="A29" s="1" t="s">
        <v>35</v>
      </c>
      <c r="B29" s="1">
        <v>306240.0</v>
      </c>
      <c r="C29" s="2" t="str">
        <f>IFERROR(__xludf.DUMMYFUNCTION("SPLIT(A29, "" + "", FALSE)"),"Ippatsu")</f>
        <v>Ippatsu</v>
      </c>
      <c r="D29" s="2" t="str">
        <f>IFERROR(__xludf.DUMMYFUNCTION("""COMPUTED_VALUE"""),"Dora")</f>
        <v>Dora</v>
      </c>
    </row>
    <row r="30">
      <c r="A30" s="1" t="s">
        <v>36</v>
      </c>
      <c r="B30" s="1">
        <v>304198.0</v>
      </c>
      <c r="C30" s="2" t="str">
        <f>IFERROR(__xludf.DUMMYFUNCTION("SPLIT(A30, "" + "", FALSE)"),"Yakuhai Wind")</f>
        <v>Yakuhai Wind</v>
      </c>
      <c r="D30" s="2" t="str">
        <f>IFERROR(__xludf.DUMMYFUNCTION("""COMPUTED_VALUE"""),"Yakuhai Wind")</f>
        <v>Yakuhai Wind</v>
      </c>
    </row>
    <row r="31">
      <c r="A31" s="1" t="s">
        <v>37</v>
      </c>
      <c r="B31" s="1">
        <v>298368.0</v>
      </c>
      <c r="C31" s="2" t="str">
        <f>IFERROR(__xludf.DUMMYFUNCTION("SPLIT(A31, "" + "", FALSE)"),"Ippatsu")</f>
        <v>Ippatsu</v>
      </c>
      <c r="D31" s="2" t="str">
        <f>IFERROR(__xludf.DUMMYFUNCTION("""COMPUTED_VALUE"""),"Pinfu")</f>
        <v>Pinfu</v>
      </c>
    </row>
    <row r="32">
      <c r="A32" s="1" t="s">
        <v>38</v>
      </c>
      <c r="B32" s="1">
        <v>295655.0</v>
      </c>
      <c r="C32" s="2" t="str">
        <f>IFERROR(__xludf.DUMMYFUNCTION("SPLIT(A32, "" + "", FALSE)"),"Yakuhai Dragon")</f>
        <v>Yakuhai Dragon</v>
      </c>
      <c r="D32" s="2" t="str">
        <f>IFERROR(__xludf.DUMMYFUNCTION("""COMPUTED_VALUE"""),"Honitsu")</f>
        <v>Honitsu</v>
      </c>
    </row>
    <row r="33">
      <c r="A33" s="1" t="s">
        <v>39</v>
      </c>
      <c r="B33" s="1">
        <v>253436.0</v>
      </c>
      <c r="C33" s="2" t="str">
        <f>IFERROR(__xludf.DUMMYFUNCTION("SPLIT(A33, "" + "", FALSE)"),"Ippatsu")</f>
        <v>Ippatsu</v>
      </c>
      <c r="D33" s="2" t="str">
        <f>IFERROR(__xludf.DUMMYFUNCTION("""COMPUTED_VALUE"""),"Uradora")</f>
        <v>Uradora</v>
      </c>
    </row>
    <row r="34">
      <c r="A34" s="1" t="s">
        <v>40</v>
      </c>
      <c r="B34" s="1">
        <v>230842.0</v>
      </c>
      <c r="C34" s="2" t="str">
        <f>IFERROR(__xludf.DUMMYFUNCTION("SPLIT(A34, "" + "", FALSE)"),"Riichi")</f>
        <v>Riichi</v>
      </c>
      <c r="D34" s="2" t="str">
        <f>IFERROR(__xludf.DUMMYFUNCTION("""COMPUTED_VALUE"""),"Iipeikou")</f>
        <v>Iipeikou</v>
      </c>
    </row>
    <row r="35">
      <c r="A35" s="1" t="s">
        <v>41</v>
      </c>
      <c r="B35" s="1">
        <v>195972.0</v>
      </c>
      <c r="C35" s="2" t="str">
        <f>IFERROR(__xludf.DUMMYFUNCTION("SPLIT(A35, "" + "", FALSE)"),"Pinfu")</f>
        <v>Pinfu</v>
      </c>
      <c r="D35" s="2" t="str">
        <f>IFERROR(__xludf.DUMMYFUNCTION("""COMPUTED_VALUE"""),"Iipeikou")</f>
        <v>Iipeikou</v>
      </c>
    </row>
    <row r="36">
      <c r="A36" s="1" t="s">
        <v>42</v>
      </c>
      <c r="B36" s="1">
        <v>195143.0</v>
      </c>
      <c r="C36" s="2" t="str">
        <f>IFERROR(__xludf.DUMMYFUNCTION("SPLIT(A36, "" + "", FALSE)"),"Riichi")</f>
        <v>Riichi</v>
      </c>
      <c r="D36" s="2" t="str">
        <f>IFERROR(__xludf.DUMMYFUNCTION("""COMPUTED_VALUE"""),"Yakuhai Dragon")</f>
        <v>Yakuhai Dragon</v>
      </c>
    </row>
    <row r="37">
      <c r="A37" s="1" t="s">
        <v>43</v>
      </c>
      <c r="B37" s="1">
        <v>192369.0</v>
      </c>
      <c r="C37" s="2" t="str">
        <f>IFERROR(__xludf.DUMMYFUNCTION("SPLIT(A37, "" + "", FALSE)"),"Iipeikou")</f>
        <v>Iipeikou</v>
      </c>
      <c r="D37" s="2" t="str">
        <f>IFERROR(__xludf.DUMMYFUNCTION("""COMPUTED_VALUE"""),"Akadora")</f>
        <v>Akadora</v>
      </c>
    </row>
    <row r="38">
      <c r="A38" s="1" t="s">
        <v>44</v>
      </c>
      <c r="B38" s="1">
        <v>190411.0</v>
      </c>
      <c r="C38" s="2" t="str">
        <f>IFERROR(__xludf.DUMMYFUNCTION("SPLIT(A38, "" + "", FALSE)"),"Yakuhai Wind")</f>
        <v>Yakuhai Wind</v>
      </c>
      <c r="D38" s="2" t="str">
        <f>IFERROR(__xludf.DUMMYFUNCTION("""COMPUTED_VALUE"""),"Honitsu")</f>
        <v>Honitsu</v>
      </c>
    </row>
    <row r="39">
      <c r="A39" s="1" t="s">
        <v>45</v>
      </c>
      <c r="B39" s="1">
        <v>183722.0</v>
      </c>
      <c r="C39" s="2" t="str">
        <f>IFERROR(__xludf.DUMMYFUNCTION("SPLIT(A39, "" + "", FALSE)"),"Tanyao")</f>
        <v>Tanyao</v>
      </c>
      <c r="D39" s="2" t="str">
        <f>IFERROR(__xludf.DUMMYFUNCTION("""COMPUTED_VALUE"""),"Uradora")</f>
        <v>Uradora</v>
      </c>
    </row>
    <row r="40">
      <c r="A40" s="1" t="s">
        <v>46</v>
      </c>
      <c r="B40" s="1">
        <v>175473.0</v>
      </c>
      <c r="C40" s="2" t="str">
        <f>IFERROR(__xludf.DUMMYFUNCTION("SPLIT(A40, "" + "", FALSE)"),"Tsumo")</f>
        <v>Tsumo</v>
      </c>
      <c r="D40" s="2" t="str">
        <f>IFERROR(__xludf.DUMMYFUNCTION("""COMPUTED_VALUE"""),"Iipeikou")</f>
        <v>Iipeikou</v>
      </c>
    </row>
    <row r="41">
      <c r="A41" s="1" t="s">
        <v>47</v>
      </c>
      <c r="B41" s="1">
        <v>173981.0</v>
      </c>
      <c r="C41" s="2" t="str">
        <f>IFERROR(__xludf.DUMMYFUNCTION("SPLIT(A41, "" + "", FALSE)"),"Doujun")</f>
        <v>Doujun</v>
      </c>
      <c r="D41" s="2" t="str">
        <f>IFERROR(__xludf.DUMMYFUNCTION("""COMPUTED_VALUE"""),"Dora")</f>
        <v>Dora</v>
      </c>
    </row>
    <row r="42">
      <c r="A42" s="1" t="s">
        <v>48</v>
      </c>
      <c r="B42" s="1">
        <v>162529.0</v>
      </c>
      <c r="C42" s="2" t="str">
        <f>IFERROR(__xludf.DUMMYFUNCTION("SPLIT(A42, "" + "", FALSE)"),"Doujun")</f>
        <v>Doujun</v>
      </c>
      <c r="D42" s="2" t="str">
        <f>IFERROR(__xludf.DUMMYFUNCTION("""COMPUTED_VALUE"""),"Akadora")</f>
        <v>Akadora</v>
      </c>
    </row>
    <row r="43">
      <c r="A43" s="1" t="s">
        <v>49</v>
      </c>
      <c r="B43" s="1">
        <v>155257.0</v>
      </c>
      <c r="C43" s="2" t="str">
        <f>IFERROR(__xludf.DUMMYFUNCTION("SPLIT(A43, "" + "", FALSE)"),"Riichi")</f>
        <v>Riichi</v>
      </c>
      <c r="D43" s="2" t="str">
        <f>IFERROR(__xludf.DUMMYFUNCTION("""COMPUTED_VALUE"""),"Chiitoitsu")</f>
        <v>Chiitoitsu</v>
      </c>
    </row>
    <row r="44">
      <c r="A44" s="1" t="s">
        <v>50</v>
      </c>
      <c r="B44" s="1">
        <v>135430.0</v>
      </c>
      <c r="C44" s="2" t="str">
        <f>IFERROR(__xludf.DUMMYFUNCTION("SPLIT(A44, "" + "", FALSE)"),"Iipeikou")</f>
        <v>Iipeikou</v>
      </c>
      <c r="D44" s="2" t="str">
        <f>IFERROR(__xludf.DUMMYFUNCTION("""COMPUTED_VALUE"""),"Dora")</f>
        <v>Dora</v>
      </c>
    </row>
    <row r="45">
      <c r="A45" s="1" t="s">
        <v>51</v>
      </c>
      <c r="B45" s="1">
        <v>135115.0</v>
      </c>
      <c r="C45" s="2" t="str">
        <f>IFERROR(__xludf.DUMMYFUNCTION("SPLIT(A45, "" + "", FALSE)"),"Yakuhai Wind")</f>
        <v>Yakuhai Wind</v>
      </c>
      <c r="D45" s="2" t="str">
        <f>IFERROR(__xludf.DUMMYFUNCTION("""COMPUTED_VALUE"""),"Yakuhai Dragon")</f>
        <v>Yakuhai Dragon</v>
      </c>
    </row>
    <row r="46">
      <c r="A46" s="1" t="s">
        <v>52</v>
      </c>
      <c r="B46" s="1">
        <v>125779.0</v>
      </c>
      <c r="C46" s="2" t="str">
        <f>IFERROR(__xludf.DUMMYFUNCTION("SPLIT(A46, "" + "", FALSE)"),"Honitsu")</f>
        <v>Honitsu</v>
      </c>
      <c r="D46" s="2" t="str">
        <f>IFERROR(__xludf.DUMMYFUNCTION("""COMPUTED_VALUE"""),"Akadora")</f>
        <v>Akadora</v>
      </c>
    </row>
    <row r="47">
      <c r="A47" s="1" t="s">
        <v>53</v>
      </c>
      <c r="B47" s="1">
        <v>123951.0</v>
      </c>
      <c r="C47" s="2" t="str">
        <f>IFERROR(__xludf.DUMMYFUNCTION("SPLIT(A47, "" + "", FALSE)"),"Doujun")</f>
        <v>Doujun</v>
      </c>
      <c r="D47" s="2" t="str">
        <f>IFERROR(__xludf.DUMMYFUNCTION("""COMPUTED_VALUE"""),"Tanyao")</f>
        <v>Tanyao</v>
      </c>
    </row>
    <row r="48">
      <c r="A48" s="1" t="s">
        <v>54</v>
      </c>
      <c r="B48" s="1">
        <v>122086.0</v>
      </c>
      <c r="C48" s="2" t="str">
        <f>IFERROR(__xludf.DUMMYFUNCTION("SPLIT(A48, "" + "", FALSE)"),"Riichi")</f>
        <v>Riichi</v>
      </c>
      <c r="D48" s="2" t="str">
        <f>IFERROR(__xludf.DUMMYFUNCTION("""COMPUTED_VALUE"""),"Yakuhai Wind")</f>
        <v>Yakuhai Wind</v>
      </c>
    </row>
    <row r="49">
      <c r="A49" s="1" t="s">
        <v>55</v>
      </c>
      <c r="B49" s="1">
        <v>118802.0</v>
      </c>
      <c r="C49" s="2" t="str">
        <f>IFERROR(__xludf.DUMMYFUNCTION("SPLIT(A49, "" + "", FALSE)"),"Riichi")</f>
        <v>Riichi</v>
      </c>
      <c r="D49" s="2" t="str">
        <f>IFERROR(__xludf.DUMMYFUNCTION("""COMPUTED_VALUE"""),"Doujun")</f>
        <v>Doujun</v>
      </c>
    </row>
    <row r="50">
      <c r="A50" s="1" t="s">
        <v>56</v>
      </c>
      <c r="B50" s="1">
        <v>117193.0</v>
      </c>
      <c r="C50" s="2" t="str">
        <f>IFERROR(__xludf.DUMMYFUNCTION("SPLIT(A50, "" + "", FALSE)"),"Honitsu")</f>
        <v>Honitsu</v>
      </c>
      <c r="D50" s="2" t="str">
        <f>IFERROR(__xludf.DUMMYFUNCTION("""COMPUTED_VALUE"""),"Dora")</f>
        <v>Dora</v>
      </c>
    </row>
    <row r="51">
      <c r="A51" s="1" t="s">
        <v>57</v>
      </c>
      <c r="B51" s="1">
        <v>116519.0</v>
      </c>
      <c r="C51" s="2" t="str">
        <f>IFERROR(__xludf.DUMMYFUNCTION("SPLIT(A51, "" + "", FALSE)"),"Iipeikou")</f>
        <v>Iipeikou</v>
      </c>
      <c r="D51" s="2" t="str">
        <f>IFERROR(__xludf.DUMMYFUNCTION("""COMPUTED_VALUE"""),"Tanyao")</f>
        <v>Tanyao</v>
      </c>
    </row>
    <row r="52">
      <c r="A52" s="1" t="s">
        <v>58</v>
      </c>
      <c r="B52" s="1">
        <v>115146.0</v>
      </c>
      <c r="C52" s="2" t="str">
        <f>IFERROR(__xludf.DUMMYFUNCTION("SPLIT(A52, "" + "", FALSE)"),"Ippatsu")</f>
        <v>Ippatsu</v>
      </c>
      <c r="D52" s="2" t="str">
        <f>IFERROR(__xludf.DUMMYFUNCTION("""COMPUTED_VALUE"""),"Tanyao")</f>
        <v>Tanyao</v>
      </c>
    </row>
    <row r="53">
      <c r="A53" s="1" t="s">
        <v>59</v>
      </c>
      <c r="B53" s="1">
        <v>115070.0</v>
      </c>
      <c r="C53" s="2" t="str">
        <f>IFERROR(__xludf.DUMMYFUNCTION("SPLIT(A53, "" + "", FALSE)"),"Yakuhai Dragon")</f>
        <v>Yakuhai Dragon</v>
      </c>
      <c r="D53" s="2" t="str">
        <f>IFERROR(__xludf.DUMMYFUNCTION("""COMPUTED_VALUE"""),"Yakuhai Dragon")</f>
        <v>Yakuhai Dragon</v>
      </c>
    </row>
    <row r="54">
      <c r="A54" s="1" t="s">
        <v>60</v>
      </c>
      <c r="B54" s="1">
        <v>114433.0</v>
      </c>
      <c r="C54" s="2" t="str">
        <f>IFERROR(__xludf.DUMMYFUNCTION("SPLIT(A54, "" + "", FALSE)"),"Tsumo")</f>
        <v>Tsumo</v>
      </c>
      <c r="D54" s="2" t="str">
        <f>IFERROR(__xludf.DUMMYFUNCTION("""COMPUTED_VALUE"""),"Yakuhai Dragon")</f>
        <v>Yakuhai Dragon</v>
      </c>
    </row>
    <row r="55">
      <c r="A55" s="1" t="s">
        <v>61</v>
      </c>
      <c r="B55" s="1">
        <v>105555.0</v>
      </c>
      <c r="C55" s="2" t="str">
        <f>IFERROR(__xludf.DUMMYFUNCTION("SPLIT(A55, "" + "", FALSE)"),"Chiitoitsu")</f>
        <v>Chiitoitsu</v>
      </c>
      <c r="D55" s="2" t="str">
        <f>IFERROR(__xludf.DUMMYFUNCTION("""COMPUTED_VALUE"""),"Dora")</f>
        <v>Dora</v>
      </c>
    </row>
    <row r="56">
      <c r="A56" s="1" t="s">
        <v>62</v>
      </c>
      <c r="B56" s="1">
        <v>103550.0</v>
      </c>
      <c r="C56" s="2" t="str">
        <f>IFERROR(__xludf.DUMMYFUNCTION("SPLIT(A56, "" + "", FALSE)"),"Chiitoitsu")</f>
        <v>Chiitoitsu</v>
      </c>
      <c r="D56" s="2" t="str">
        <f>IFERROR(__xludf.DUMMYFUNCTION("""COMPUTED_VALUE"""),"Akadora")</f>
        <v>Akadora</v>
      </c>
    </row>
    <row r="57">
      <c r="A57" s="1" t="s">
        <v>63</v>
      </c>
      <c r="B57" s="1">
        <v>99887.0</v>
      </c>
      <c r="C57" s="2" t="str">
        <f>IFERROR(__xludf.DUMMYFUNCTION("SPLIT(A57, "" + "", FALSE)"),"Yakuhai Dragon")</f>
        <v>Yakuhai Dragon</v>
      </c>
      <c r="D57" s="2" t="str">
        <f>IFERROR(__xludf.DUMMYFUNCTION("""COMPUTED_VALUE"""),"Yakuhai Wind")</f>
        <v>Yakuhai Wind</v>
      </c>
    </row>
    <row r="58">
      <c r="A58" s="1" t="s">
        <v>64</v>
      </c>
      <c r="B58" s="1">
        <v>96596.0</v>
      </c>
      <c r="C58" s="2" t="str">
        <f>IFERROR(__xludf.DUMMYFUNCTION("SPLIT(A58, "" + "", FALSE)"),"Pinfu")</f>
        <v>Pinfu</v>
      </c>
      <c r="D58" s="2" t="str">
        <f>IFERROR(__xludf.DUMMYFUNCTION("""COMPUTED_VALUE"""),"Doujun")</f>
        <v>Doujun</v>
      </c>
    </row>
    <row r="59">
      <c r="A59" s="1" t="s">
        <v>65</v>
      </c>
      <c r="B59" s="1">
        <v>92022.0</v>
      </c>
      <c r="C59" s="2" t="str">
        <f>IFERROR(__xludf.DUMMYFUNCTION("SPLIT(A59, "" + "", FALSE)"),"Tsumo")</f>
        <v>Tsumo</v>
      </c>
      <c r="D59" s="2" t="str">
        <f>IFERROR(__xludf.DUMMYFUNCTION("""COMPUTED_VALUE"""),"Chiitoitsu")</f>
        <v>Chiitoitsu</v>
      </c>
    </row>
    <row r="60">
      <c r="A60" s="1" t="s">
        <v>66</v>
      </c>
      <c r="B60" s="1">
        <v>89278.0</v>
      </c>
      <c r="C60" s="2" t="str">
        <f>IFERROR(__xludf.DUMMYFUNCTION("SPLIT(A60, "" + "", FALSE)"),"Toitoi")</f>
        <v>Toitoi</v>
      </c>
      <c r="D60" s="2" t="str">
        <f>IFERROR(__xludf.DUMMYFUNCTION("""COMPUTED_VALUE"""),"Yakuhai Dragon")</f>
        <v>Yakuhai Dragon</v>
      </c>
    </row>
    <row r="61">
      <c r="A61" s="1" t="s">
        <v>67</v>
      </c>
      <c r="B61" s="1">
        <v>85831.0</v>
      </c>
      <c r="C61" s="2" t="str">
        <f>IFERROR(__xludf.DUMMYFUNCTION("SPLIT(A61, "" + "", FALSE)"),"Tsumo")</f>
        <v>Tsumo</v>
      </c>
      <c r="D61" s="2" t="str">
        <f>IFERROR(__xludf.DUMMYFUNCTION("""COMPUTED_VALUE"""),"Doujun")</f>
        <v>Doujun</v>
      </c>
    </row>
    <row r="62">
      <c r="A62" s="1" t="s">
        <v>68</v>
      </c>
      <c r="B62" s="1">
        <v>74896.0</v>
      </c>
      <c r="C62" s="2" t="str">
        <f>IFERROR(__xludf.DUMMYFUNCTION("SPLIT(A62, "" + "", FALSE)"),"Tsumo")</f>
        <v>Tsumo</v>
      </c>
      <c r="D62" s="2" t="str">
        <f>IFERROR(__xludf.DUMMYFUNCTION("""COMPUTED_VALUE"""),"Yakuhai Wind")</f>
        <v>Yakuhai Wind</v>
      </c>
    </row>
    <row r="63">
      <c r="A63" s="1" t="s">
        <v>69</v>
      </c>
      <c r="B63" s="1">
        <v>66503.0</v>
      </c>
      <c r="C63" s="2" t="str">
        <f>IFERROR(__xludf.DUMMYFUNCTION("SPLIT(A63, "" + "", FALSE)"),"Itsu")</f>
        <v>Itsu</v>
      </c>
      <c r="D63" s="2" t="str">
        <f>IFERROR(__xludf.DUMMYFUNCTION("""COMPUTED_VALUE"""),"Akadora")</f>
        <v>Akadora</v>
      </c>
    </row>
    <row r="64">
      <c r="A64" s="1" t="s">
        <v>70</v>
      </c>
      <c r="B64" s="1">
        <v>65274.0</v>
      </c>
      <c r="C64" s="2" t="str">
        <f>IFERROR(__xludf.DUMMYFUNCTION("SPLIT(A64, "" + "", FALSE)"),"Itsu")</f>
        <v>Itsu</v>
      </c>
      <c r="D64" s="2" t="str">
        <f>IFERROR(__xludf.DUMMYFUNCTION("""COMPUTED_VALUE"""),"Dora")</f>
        <v>Dora</v>
      </c>
    </row>
    <row r="65">
      <c r="A65" s="1" t="s">
        <v>71</v>
      </c>
      <c r="B65" s="1">
        <v>59076.0</v>
      </c>
      <c r="C65" s="2" t="str">
        <f>IFERROR(__xludf.DUMMYFUNCTION("SPLIT(A65, "" + "", FALSE)"),"Toitoi")</f>
        <v>Toitoi</v>
      </c>
      <c r="D65" s="2" t="str">
        <f>IFERROR(__xludf.DUMMYFUNCTION("""COMPUTED_VALUE"""),"Yakuhai Wind")</f>
        <v>Yakuhai Wind</v>
      </c>
    </row>
    <row r="66">
      <c r="A66" s="1" t="s">
        <v>72</v>
      </c>
      <c r="B66" s="1">
        <v>58717.0</v>
      </c>
      <c r="C66" s="2" t="str">
        <f>IFERROR(__xludf.DUMMYFUNCTION("SPLIT(A66, "" + "", FALSE)"),"Iipeikou")</f>
        <v>Iipeikou</v>
      </c>
      <c r="D66" s="2" t="str">
        <f>IFERROR(__xludf.DUMMYFUNCTION("""COMPUTED_VALUE"""),"Uradora")</f>
        <v>Uradora</v>
      </c>
    </row>
    <row r="67">
      <c r="A67" s="1" t="s">
        <v>73</v>
      </c>
      <c r="B67" s="1">
        <v>57607.0</v>
      </c>
      <c r="C67" s="2" t="str">
        <f>IFERROR(__xludf.DUMMYFUNCTION("SPLIT(A67, "" + "", FALSE)"),"Yakuhai Dragon")</f>
        <v>Yakuhai Dragon</v>
      </c>
      <c r="D67" s="2" t="str">
        <f>IFERROR(__xludf.DUMMYFUNCTION("""COMPUTED_VALUE"""),"Uradora")</f>
        <v>Uradora</v>
      </c>
    </row>
    <row r="68">
      <c r="A68" s="1" t="s">
        <v>74</v>
      </c>
      <c r="B68" s="1">
        <v>48349.0</v>
      </c>
      <c r="C68" s="2" t="str">
        <f>IFERROR(__xludf.DUMMYFUNCTION("SPLIT(A68, "" + "", FALSE)"),"Riichi")</f>
        <v>Riichi</v>
      </c>
      <c r="D68" s="2" t="str">
        <f>IFERROR(__xludf.DUMMYFUNCTION("""COMPUTED_VALUE"""),"Itsu")</f>
        <v>Itsu</v>
      </c>
    </row>
    <row r="69">
      <c r="A69" s="1" t="s">
        <v>75</v>
      </c>
      <c r="B69" s="1">
        <v>46193.0</v>
      </c>
      <c r="C69" s="2" t="str">
        <f>IFERROR(__xludf.DUMMYFUNCTION("SPLIT(A69, "" + "", FALSE)"),"Toitoi")</f>
        <v>Toitoi</v>
      </c>
      <c r="D69" s="2" t="str">
        <f>IFERROR(__xludf.DUMMYFUNCTION("""COMPUTED_VALUE"""),"Akadora")</f>
        <v>Akadora</v>
      </c>
    </row>
    <row r="70">
      <c r="A70" s="1" t="s">
        <v>76</v>
      </c>
      <c r="B70" s="1">
        <v>42818.0</v>
      </c>
      <c r="C70" s="2" t="str">
        <f>IFERROR(__xludf.DUMMYFUNCTION("SPLIT(A70, "" + "", FALSE)"),"Ippatsu")</f>
        <v>Ippatsu</v>
      </c>
      <c r="D70" s="2" t="str">
        <f>IFERROR(__xludf.DUMMYFUNCTION("""COMPUTED_VALUE"""),"Iipeikou")</f>
        <v>Iipeikou</v>
      </c>
    </row>
    <row r="71">
      <c r="A71" s="1" t="s">
        <v>77</v>
      </c>
      <c r="B71" s="1">
        <v>41323.0</v>
      </c>
      <c r="C71" s="2" t="str">
        <f>IFERROR(__xludf.DUMMYFUNCTION("SPLIT(A71, "" + "", FALSE)"),"Doujun")</f>
        <v>Doujun</v>
      </c>
      <c r="D71" s="2" t="str">
        <f>IFERROR(__xludf.DUMMYFUNCTION("""COMPUTED_VALUE"""),"Uradora")</f>
        <v>Uradora</v>
      </c>
    </row>
    <row r="72">
      <c r="A72" s="1" t="s">
        <v>78</v>
      </c>
      <c r="B72" s="1">
        <v>40100.0</v>
      </c>
      <c r="C72" s="2" t="str">
        <f>IFERROR(__xludf.DUMMYFUNCTION("SPLIT(A72, "" + "", FALSE)"),"Yakuhai Dragon")</f>
        <v>Yakuhai Dragon</v>
      </c>
      <c r="D72" s="2" t="str">
        <f>IFERROR(__xludf.DUMMYFUNCTION("""COMPUTED_VALUE"""),"Chanta")</f>
        <v>Chanta</v>
      </c>
    </row>
    <row r="73">
      <c r="A73" s="1" t="s">
        <v>79</v>
      </c>
      <c r="B73" s="1">
        <v>38166.0</v>
      </c>
      <c r="C73" s="2" t="str">
        <f>IFERROR(__xludf.DUMMYFUNCTION("SPLIT(A73, "" + "", FALSE)"),"Ippatsu")</f>
        <v>Ippatsu</v>
      </c>
      <c r="D73" s="2" t="str">
        <f>IFERROR(__xludf.DUMMYFUNCTION("""COMPUTED_VALUE"""),"Yakuhai Dragon")</f>
        <v>Yakuhai Dragon</v>
      </c>
    </row>
    <row r="74">
      <c r="A74" s="1" t="s">
        <v>80</v>
      </c>
      <c r="B74" s="1">
        <v>36459.0</v>
      </c>
      <c r="C74" s="2" t="str">
        <f>IFERROR(__xludf.DUMMYFUNCTION("SPLIT(A74, "" + "", FALSE)"),"Chanta")</f>
        <v>Chanta</v>
      </c>
      <c r="D74" s="2" t="str">
        <f>IFERROR(__xludf.DUMMYFUNCTION("""COMPUTED_VALUE"""),"Dora")</f>
        <v>Dora</v>
      </c>
    </row>
    <row r="75">
      <c r="A75" s="1" t="s">
        <v>81</v>
      </c>
      <c r="B75" s="1">
        <v>36317.0</v>
      </c>
      <c r="C75" s="2" t="str">
        <f>IFERROR(__xludf.DUMMYFUNCTION("SPLIT(A75, "" + "", FALSE)"),"Yakuhai Wind")</f>
        <v>Yakuhai Wind</v>
      </c>
      <c r="D75" s="2" t="str">
        <f>IFERROR(__xludf.DUMMYFUNCTION("""COMPUTED_VALUE"""),"Uradora")</f>
        <v>Uradora</v>
      </c>
    </row>
    <row r="76">
      <c r="A76" s="1" t="s">
        <v>82</v>
      </c>
      <c r="B76" s="1">
        <v>35141.0</v>
      </c>
      <c r="C76" s="2" t="str">
        <f>IFERROR(__xludf.DUMMYFUNCTION("SPLIT(A76, "" + "", FALSE)"),"Tsumo")</f>
        <v>Tsumo</v>
      </c>
      <c r="D76" s="2" t="str">
        <f>IFERROR(__xludf.DUMMYFUNCTION("""COMPUTED_VALUE"""),"Itsu")</f>
        <v>Itsu</v>
      </c>
    </row>
    <row r="77">
      <c r="A77" s="1" t="s">
        <v>83</v>
      </c>
      <c r="B77" s="1">
        <v>34645.0</v>
      </c>
      <c r="C77" s="2" t="str">
        <f>IFERROR(__xludf.DUMMYFUNCTION("SPLIT(A77, "" + "", FALSE)"),"Pinfu")</f>
        <v>Pinfu</v>
      </c>
      <c r="D77" s="2" t="str">
        <f>IFERROR(__xludf.DUMMYFUNCTION("""COMPUTED_VALUE"""),"Itsu")</f>
        <v>Itsu</v>
      </c>
    </row>
    <row r="78">
      <c r="A78" s="1" t="s">
        <v>84</v>
      </c>
      <c r="B78" s="1">
        <v>33769.0</v>
      </c>
      <c r="C78" s="2" t="str">
        <f>IFERROR(__xludf.DUMMYFUNCTION("SPLIT(A78, "" + "", FALSE)"),"Toitoi")</f>
        <v>Toitoi</v>
      </c>
      <c r="D78" s="2" t="str">
        <f>IFERROR(__xludf.DUMMYFUNCTION("""COMPUTED_VALUE"""),"Dora")</f>
        <v>Dora</v>
      </c>
    </row>
    <row r="79">
      <c r="A79" s="1" t="s">
        <v>85</v>
      </c>
      <c r="B79" s="1">
        <v>33152.0</v>
      </c>
      <c r="C79" s="2" t="str">
        <f>IFERROR(__xludf.DUMMYFUNCTION("SPLIT(A79, "" + "", FALSE)"),"Chiitoitsu")</f>
        <v>Chiitoitsu</v>
      </c>
      <c r="D79" s="2" t="str">
        <f>IFERROR(__xludf.DUMMYFUNCTION("""COMPUTED_VALUE"""),"Uradora")</f>
        <v>Uradora</v>
      </c>
    </row>
    <row r="80">
      <c r="A80" s="1" t="s">
        <v>86</v>
      </c>
      <c r="B80" s="1">
        <v>30927.0</v>
      </c>
      <c r="C80" s="2" t="str">
        <f>IFERROR(__xludf.DUMMYFUNCTION("SPLIT(A80, "" + "", FALSE)"),"Ippatsu")</f>
        <v>Ippatsu</v>
      </c>
      <c r="D80" s="2" t="str">
        <f>IFERROR(__xludf.DUMMYFUNCTION("""COMPUTED_VALUE"""),"Chiitoitsu")</f>
        <v>Chiitoitsu</v>
      </c>
    </row>
    <row r="81">
      <c r="A81" s="1" t="s">
        <v>87</v>
      </c>
      <c r="B81" s="1">
        <v>29782.0</v>
      </c>
      <c r="C81" s="2" t="str">
        <f>IFERROR(__xludf.DUMMYFUNCTION("SPLIT(A81, "" + "", FALSE)"),"Haitei")</f>
        <v>Haitei</v>
      </c>
      <c r="D81" s="2" t="str">
        <f>IFERROR(__xludf.DUMMYFUNCTION("""COMPUTED_VALUE"""),"Tsumo")</f>
        <v>Tsumo</v>
      </c>
    </row>
    <row r="82">
      <c r="A82" s="1" t="s">
        <v>88</v>
      </c>
      <c r="B82" s="1">
        <v>29451.0</v>
      </c>
      <c r="C82" s="2" t="str">
        <f>IFERROR(__xludf.DUMMYFUNCTION("SPLIT(A82, "" + "", FALSE)"),"Tsumo")</f>
        <v>Tsumo</v>
      </c>
      <c r="D82" s="2" t="str">
        <f>IFERROR(__xludf.DUMMYFUNCTION("""COMPUTED_VALUE"""),"Sanankou")</f>
        <v>Sanankou</v>
      </c>
    </row>
    <row r="83">
      <c r="A83" s="1" t="s">
        <v>89</v>
      </c>
      <c r="B83" s="1">
        <v>27432.0</v>
      </c>
      <c r="C83" s="2" t="str">
        <f>IFERROR(__xludf.DUMMYFUNCTION("SPLIT(A83, "" + "", FALSE)"),"Yakuhai Wind")</f>
        <v>Yakuhai Wind</v>
      </c>
      <c r="D83" s="2" t="str">
        <f>IFERROR(__xludf.DUMMYFUNCTION("""COMPUTED_VALUE"""),"Chanta")</f>
        <v>Chanta</v>
      </c>
    </row>
    <row r="84">
      <c r="A84" s="1" t="s">
        <v>90</v>
      </c>
      <c r="B84" s="1">
        <v>27337.0</v>
      </c>
      <c r="C84" s="2" t="str">
        <f>IFERROR(__xludf.DUMMYFUNCTION("SPLIT(A84, "" + "", FALSE)"),"Riichi")</f>
        <v>Riichi</v>
      </c>
      <c r="D84" s="2" t="str">
        <f>IFERROR(__xludf.DUMMYFUNCTION("""COMPUTED_VALUE"""),"Sanankou")</f>
        <v>Sanankou</v>
      </c>
    </row>
    <row r="85">
      <c r="A85" s="1" t="s">
        <v>91</v>
      </c>
      <c r="B85" s="1">
        <v>25754.0</v>
      </c>
      <c r="C85" s="2" t="str">
        <f>IFERROR(__xludf.DUMMYFUNCTION("SPLIT(A85, "" + "", FALSE)"),"Haitei")</f>
        <v>Haitei</v>
      </c>
      <c r="D85" s="2" t="str">
        <f>IFERROR(__xludf.DUMMYFUNCTION("""COMPUTED_VALUE"""),"Akadora")</f>
        <v>Akadora</v>
      </c>
    </row>
    <row r="86">
      <c r="A86" s="1" t="s">
        <v>92</v>
      </c>
      <c r="B86" s="1">
        <v>25454.0</v>
      </c>
      <c r="C86" s="2" t="str">
        <f>IFERROR(__xludf.DUMMYFUNCTION("SPLIT(A86, "" + "", FALSE)"),"Sanankou")</f>
        <v>Sanankou</v>
      </c>
      <c r="D86" s="2" t="str">
        <f>IFERROR(__xludf.DUMMYFUNCTION("""COMPUTED_VALUE"""),"Akadora")</f>
        <v>Akadora</v>
      </c>
    </row>
    <row r="87">
      <c r="A87" s="1" t="s">
        <v>93</v>
      </c>
      <c r="B87" s="1">
        <v>25002.0</v>
      </c>
      <c r="C87" s="2" t="str">
        <f>IFERROR(__xludf.DUMMYFUNCTION("SPLIT(A87, "" + "", FALSE)"),"Chiitoitsu")</f>
        <v>Chiitoitsu</v>
      </c>
      <c r="D87" s="2" t="str">
        <f>IFERROR(__xludf.DUMMYFUNCTION("""COMPUTED_VALUE"""),"Tanyao")</f>
        <v>Tanyao</v>
      </c>
    </row>
    <row r="88">
      <c r="A88" s="1" t="s">
        <v>94</v>
      </c>
      <c r="B88" s="1">
        <v>24419.0</v>
      </c>
      <c r="C88" s="2" t="str">
        <f>IFERROR(__xludf.DUMMYFUNCTION("SPLIT(A88, "" + "", FALSE)"),"Toitoi")</f>
        <v>Toitoi</v>
      </c>
      <c r="D88" s="2" t="str">
        <f>IFERROR(__xludf.DUMMYFUNCTION("""COMPUTED_VALUE"""),"Honitsu")</f>
        <v>Honitsu</v>
      </c>
    </row>
    <row r="89">
      <c r="A89" s="1" t="s">
        <v>95</v>
      </c>
      <c r="B89" s="1">
        <v>24012.0</v>
      </c>
      <c r="C89" s="2" t="str">
        <f>IFERROR(__xludf.DUMMYFUNCTION("SPLIT(A89, "" + "", FALSE)"),"Haitei")</f>
        <v>Haitei</v>
      </c>
      <c r="D89" s="2" t="str">
        <f>IFERROR(__xludf.DUMMYFUNCTION("""COMPUTED_VALUE"""),"Dora")</f>
        <v>Dora</v>
      </c>
    </row>
    <row r="90">
      <c r="A90" s="1" t="s">
        <v>96</v>
      </c>
      <c r="B90" s="1">
        <v>23965.0</v>
      </c>
      <c r="C90" s="2" t="str">
        <f>IFERROR(__xludf.DUMMYFUNCTION("SPLIT(A90, "" + "", FALSE)"),"Ippatsu")</f>
        <v>Ippatsu</v>
      </c>
      <c r="D90" s="2" t="str">
        <f>IFERROR(__xludf.DUMMYFUNCTION("""COMPUTED_VALUE"""),"Yakuhai Wind")</f>
        <v>Yakuhai Wind</v>
      </c>
    </row>
    <row r="91">
      <c r="A91" s="1" t="s">
        <v>97</v>
      </c>
      <c r="B91" s="1">
        <v>23624.0</v>
      </c>
      <c r="C91" s="2" t="str">
        <f>IFERROR(__xludf.DUMMYFUNCTION("SPLIT(A91, "" + "", FALSE)"),"Houtei")</f>
        <v>Houtei</v>
      </c>
      <c r="D91" s="2" t="str">
        <f>IFERROR(__xludf.DUMMYFUNCTION("""COMPUTED_VALUE"""),"Akadora")</f>
        <v>Akadora</v>
      </c>
    </row>
    <row r="92">
      <c r="A92" s="1" t="s">
        <v>98</v>
      </c>
      <c r="B92" s="1">
        <v>23181.0</v>
      </c>
      <c r="C92" s="2" t="str">
        <f>IFERROR(__xludf.DUMMYFUNCTION("SPLIT(A92, "" + "", FALSE)"),"Riichi")</f>
        <v>Riichi</v>
      </c>
      <c r="D92" s="2" t="str">
        <f>IFERROR(__xludf.DUMMYFUNCTION("""COMPUTED_VALUE"""),"Haitei")</f>
        <v>Haitei</v>
      </c>
    </row>
    <row r="93">
      <c r="A93" s="1" t="s">
        <v>99</v>
      </c>
      <c r="B93" s="1">
        <v>23131.0</v>
      </c>
      <c r="C93" s="2" t="str">
        <f>IFERROR(__xludf.DUMMYFUNCTION("SPLIT(A93, "" + "", FALSE)"),"Sanankou")</f>
        <v>Sanankou</v>
      </c>
      <c r="D93" s="2" t="str">
        <f>IFERROR(__xludf.DUMMYFUNCTION("""COMPUTED_VALUE"""),"Toitoi")</f>
        <v>Toitoi</v>
      </c>
    </row>
    <row r="94">
      <c r="A94" s="1" t="s">
        <v>100</v>
      </c>
      <c r="B94" s="1">
        <v>22229.0</v>
      </c>
      <c r="C94" s="2" t="str">
        <f>IFERROR(__xludf.DUMMYFUNCTION("SPLIT(A94, "" + "", FALSE)"),"Ippatsu")</f>
        <v>Ippatsu</v>
      </c>
      <c r="D94" s="2" t="str">
        <f>IFERROR(__xludf.DUMMYFUNCTION("""COMPUTED_VALUE"""),"Doujun")</f>
        <v>Doujun</v>
      </c>
    </row>
    <row r="95">
      <c r="A95" s="1" t="s">
        <v>101</v>
      </c>
      <c r="B95" s="1">
        <v>21820.0</v>
      </c>
      <c r="C95" s="2" t="str">
        <f>IFERROR(__xludf.DUMMYFUNCTION("SPLIT(A95, "" + "", FALSE)"),"Houtei")</f>
        <v>Houtei</v>
      </c>
      <c r="D95" s="2" t="str">
        <f>IFERROR(__xludf.DUMMYFUNCTION("""COMPUTED_VALUE"""),"Dora")</f>
        <v>Dora</v>
      </c>
    </row>
    <row r="96">
      <c r="A96" s="1" t="s">
        <v>102</v>
      </c>
      <c r="B96" s="1">
        <v>21065.0</v>
      </c>
      <c r="C96" s="2" t="str">
        <f>IFERROR(__xludf.DUMMYFUNCTION("SPLIT(A96, "" + "", FALSE)"),"Chinitsu")</f>
        <v>Chinitsu</v>
      </c>
      <c r="D96" s="2" t="str">
        <f>IFERROR(__xludf.DUMMYFUNCTION("""COMPUTED_VALUE"""),"Akadora")</f>
        <v>Akadora</v>
      </c>
    </row>
    <row r="97">
      <c r="A97" s="1" t="s">
        <v>103</v>
      </c>
      <c r="B97" s="1">
        <v>19044.0</v>
      </c>
      <c r="C97" s="2" t="str">
        <f>IFERROR(__xludf.DUMMYFUNCTION("SPLIT(A97, "" + "", FALSE)"),"Sanankou")</f>
        <v>Sanankou</v>
      </c>
      <c r="D97" s="2" t="str">
        <f>IFERROR(__xludf.DUMMYFUNCTION("""COMPUTED_VALUE"""),"Dora")</f>
        <v>Dora</v>
      </c>
    </row>
    <row r="98">
      <c r="A98" s="1" t="s">
        <v>104</v>
      </c>
      <c r="B98" s="1">
        <v>18276.0</v>
      </c>
      <c r="C98" s="2" t="str">
        <f>IFERROR(__xludf.DUMMYFUNCTION("SPLIT(A98, "" + "", FALSE)"),"Doujun")</f>
        <v>Doujun</v>
      </c>
      <c r="D98" s="2" t="str">
        <f>IFERROR(__xludf.DUMMYFUNCTION("""COMPUTED_VALUE"""),"Yakuhai Dragon")</f>
        <v>Yakuhai Dragon</v>
      </c>
    </row>
    <row r="99">
      <c r="A99" s="1" t="s">
        <v>105</v>
      </c>
      <c r="B99" s="1">
        <v>17102.0</v>
      </c>
      <c r="C99" s="2" t="str">
        <f>IFERROR(__xludf.DUMMYFUNCTION("SPLIT(A99, "" + "", FALSE)"),"Sanankou")</f>
        <v>Sanankou</v>
      </c>
      <c r="D99" s="2" t="str">
        <f>IFERROR(__xludf.DUMMYFUNCTION("""COMPUTED_VALUE"""),"Yakuhai Dragon")</f>
        <v>Yakuhai Dragon</v>
      </c>
    </row>
    <row r="100">
      <c r="A100" s="1" t="s">
        <v>106</v>
      </c>
      <c r="B100" s="1">
        <v>17064.0</v>
      </c>
      <c r="C100" s="2" t="str">
        <f>IFERROR(__xludf.DUMMYFUNCTION("SPLIT(A100, "" + "", FALSE)"),"Shousangen")</f>
        <v>Shousangen</v>
      </c>
      <c r="D100" s="2" t="str">
        <f>IFERROR(__xludf.DUMMYFUNCTION("""COMPUTED_VALUE"""),"Yakuhai Dragon")</f>
        <v>Yakuhai Dragon</v>
      </c>
    </row>
    <row r="101">
      <c r="A101" s="1" t="s">
        <v>107</v>
      </c>
      <c r="B101" s="1">
        <v>16970.0</v>
      </c>
      <c r="C101" s="2" t="str">
        <f>IFERROR(__xludf.DUMMYFUNCTION("SPLIT(A101, "" + "", FALSE)"),"Itsu")</f>
        <v>Itsu</v>
      </c>
      <c r="D101" s="2" t="str">
        <f>IFERROR(__xludf.DUMMYFUNCTION("""COMPUTED_VALUE"""),"Honitsu")</f>
        <v>Honitsu</v>
      </c>
    </row>
    <row r="102">
      <c r="A102" s="1" t="s">
        <v>108</v>
      </c>
      <c r="B102" s="1">
        <v>16579.0</v>
      </c>
      <c r="C102" s="2" t="str">
        <f>IFERROR(__xludf.DUMMYFUNCTION("SPLIT(A102, "" + "", FALSE)"),"Itsu")</f>
        <v>Itsu</v>
      </c>
      <c r="D102" s="2" t="str">
        <f>IFERROR(__xludf.DUMMYFUNCTION("""COMPUTED_VALUE"""),"Uradora")</f>
        <v>Uradora</v>
      </c>
    </row>
    <row r="103">
      <c r="A103" s="1" t="s">
        <v>109</v>
      </c>
      <c r="B103" s="1">
        <v>16564.0</v>
      </c>
      <c r="C103" s="2" t="str">
        <f>IFERROR(__xludf.DUMMYFUNCTION("SPLIT(A103, "" + "", FALSE)"),"Riichi")</f>
        <v>Riichi</v>
      </c>
      <c r="D103" s="2" t="str">
        <f>IFERROR(__xludf.DUMMYFUNCTION("""COMPUTED_VALUE"""),"Houtei")</f>
        <v>Houtei</v>
      </c>
    </row>
    <row r="104">
      <c r="A104" s="1" t="s">
        <v>110</v>
      </c>
      <c r="B104" s="1">
        <v>15543.0</v>
      </c>
      <c r="C104" s="2" t="str">
        <f>IFERROR(__xludf.DUMMYFUNCTION("SPLIT(A104, "" + "", FALSE)"),"Doujun")</f>
        <v>Doujun</v>
      </c>
      <c r="D104" s="2" t="str">
        <f>IFERROR(__xludf.DUMMYFUNCTION("""COMPUTED_VALUE"""),"Chanta")</f>
        <v>Chanta</v>
      </c>
    </row>
    <row r="105">
      <c r="A105" s="1" t="s">
        <v>111</v>
      </c>
      <c r="B105" s="1">
        <v>14812.0</v>
      </c>
      <c r="C105" s="2" t="str">
        <f>IFERROR(__xludf.DUMMYFUNCTION("SPLIT(A105, "" + "", FALSE)"),"Toitoi")</f>
        <v>Toitoi</v>
      </c>
      <c r="D105" s="2" t="str">
        <f>IFERROR(__xludf.DUMMYFUNCTION("""COMPUTED_VALUE"""),"Tanyao")</f>
        <v>Tanyao</v>
      </c>
    </row>
    <row r="106">
      <c r="A106" s="1" t="s">
        <v>112</v>
      </c>
      <c r="B106" s="1">
        <v>13463.0</v>
      </c>
      <c r="C106" s="2" t="str">
        <f>IFERROR(__xludf.DUMMYFUNCTION("SPLIT(A106, "" + "", FALSE)"),"Haitei")</f>
        <v>Haitei</v>
      </c>
      <c r="D106" s="2" t="str">
        <f>IFERROR(__xludf.DUMMYFUNCTION("""COMPUTED_VALUE"""),"Tanyao")</f>
        <v>Tanyao</v>
      </c>
    </row>
    <row r="107">
      <c r="A107" s="1" t="s">
        <v>113</v>
      </c>
      <c r="B107" s="1">
        <v>13032.0</v>
      </c>
      <c r="C107" s="2" t="str">
        <f>IFERROR(__xludf.DUMMYFUNCTION("SPLIT(A107, "" + "", FALSE)"),"Doujun")</f>
        <v>Doujun</v>
      </c>
      <c r="D107" s="2" t="str">
        <f>IFERROR(__xludf.DUMMYFUNCTION("""COMPUTED_VALUE"""),"Yakuhai Wind")</f>
        <v>Yakuhai Wind</v>
      </c>
    </row>
    <row r="108">
      <c r="A108" s="1" t="s">
        <v>114</v>
      </c>
      <c r="B108" s="1">
        <v>12931.0</v>
      </c>
      <c r="C108" s="2" t="str">
        <f>IFERROR(__xludf.DUMMYFUNCTION("SPLIT(A108, "" + "", FALSE)"),"Tsumo")</f>
        <v>Tsumo</v>
      </c>
      <c r="D108" s="2" t="str">
        <f>IFERROR(__xludf.DUMMYFUNCTION("""COMPUTED_VALUE"""),"Honitsu")</f>
        <v>Honitsu</v>
      </c>
    </row>
    <row r="109">
      <c r="A109" s="1" t="s">
        <v>115</v>
      </c>
      <c r="B109" s="1">
        <v>12814.0</v>
      </c>
      <c r="C109" s="2" t="str">
        <f>IFERROR(__xludf.DUMMYFUNCTION("SPLIT(A109, "" + "", FALSE)"),"Junchan")</f>
        <v>Junchan</v>
      </c>
      <c r="D109" s="2" t="str">
        <f>IFERROR(__xludf.DUMMYFUNCTION("""COMPUTED_VALUE"""),"Dora")</f>
        <v>Dora</v>
      </c>
    </row>
    <row r="110">
      <c r="A110" s="1" t="s">
        <v>116</v>
      </c>
      <c r="B110" s="1">
        <v>12744.0</v>
      </c>
      <c r="C110" s="2" t="str">
        <f>IFERROR(__xludf.DUMMYFUNCTION("SPLIT(A110, "" + "", FALSE)"),"Houtei")</f>
        <v>Houtei</v>
      </c>
      <c r="D110" s="2" t="str">
        <f>IFERROR(__xludf.DUMMYFUNCTION("""COMPUTED_VALUE"""),"Tanyao")</f>
        <v>Tanyao</v>
      </c>
    </row>
    <row r="111">
      <c r="A111" s="1" t="s">
        <v>117</v>
      </c>
      <c r="B111" s="1">
        <v>12690.0</v>
      </c>
      <c r="C111" s="2" t="str">
        <f>IFERROR(__xludf.DUMMYFUNCTION("SPLIT(A111, "" + "", FALSE)"),"Rinshan")</f>
        <v>Rinshan</v>
      </c>
      <c r="D111" s="2" t="str">
        <f>IFERROR(__xludf.DUMMYFUNCTION("""COMPUTED_VALUE"""),"Dora")</f>
        <v>Dora</v>
      </c>
    </row>
    <row r="112">
      <c r="A112" s="1" t="s">
        <v>118</v>
      </c>
      <c r="B112" s="1">
        <v>12400.0</v>
      </c>
      <c r="C112" s="2" t="str">
        <f>IFERROR(__xludf.DUMMYFUNCTION("SPLIT(A112, "" + "", FALSE)"),"Sanankou")</f>
        <v>Sanankou</v>
      </c>
      <c r="D112" s="2" t="str">
        <f>IFERROR(__xludf.DUMMYFUNCTION("""COMPUTED_VALUE"""),"Tanyao")</f>
        <v>Tanyao</v>
      </c>
    </row>
    <row r="113">
      <c r="A113" s="1" t="s">
        <v>119</v>
      </c>
      <c r="B113" s="1">
        <v>11812.0</v>
      </c>
      <c r="C113" s="2" t="str">
        <f>IFERROR(__xludf.DUMMYFUNCTION("SPLIT(A113, "" + "", FALSE)"),"Rinshan")</f>
        <v>Rinshan</v>
      </c>
      <c r="D113" s="2" t="str">
        <f>IFERROR(__xludf.DUMMYFUNCTION("""COMPUTED_VALUE"""),"Akadora")</f>
        <v>Akadora</v>
      </c>
    </row>
    <row r="114">
      <c r="A114" s="1" t="s">
        <v>120</v>
      </c>
      <c r="B114" s="1">
        <v>11722.0</v>
      </c>
      <c r="C114" s="2" t="str">
        <f>IFERROR(__xludf.DUMMYFUNCTION("SPLIT(A114, "" + "", FALSE)"),"Riichi")</f>
        <v>Riichi</v>
      </c>
      <c r="D114" s="2" t="str">
        <f>IFERROR(__xludf.DUMMYFUNCTION("""COMPUTED_VALUE"""),"Honitsu")</f>
        <v>Honitsu</v>
      </c>
    </row>
    <row r="115">
      <c r="A115" s="1" t="s">
        <v>121</v>
      </c>
      <c r="B115" s="1">
        <v>11359.0</v>
      </c>
      <c r="C115" s="2" t="str">
        <f>IFERROR(__xludf.DUMMYFUNCTION("SPLIT(A115, "" + "", FALSE)"),"Doujun")</f>
        <v>Doujun</v>
      </c>
      <c r="D115" s="2" t="str">
        <f>IFERROR(__xludf.DUMMYFUNCTION("""COMPUTED_VALUE"""),"Junchan")</f>
        <v>Junchan</v>
      </c>
    </row>
    <row r="116">
      <c r="A116" s="1" t="s">
        <v>122</v>
      </c>
      <c r="B116" s="1">
        <v>11243.0</v>
      </c>
      <c r="C116" s="2" t="str">
        <f>IFERROR(__xludf.DUMMYFUNCTION("SPLIT(A116, "" + "", FALSE)"),"Sanankou")</f>
        <v>Sanankou</v>
      </c>
      <c r="D116" s="2" t="str">
        <f>IFERROR(__xludf.DUMMYFUNCTION("""COMPUTED_VALUE"""),"Yakuhai Wind")</f>
        <v>Yakuhai Wind</v>
      </c>
    </row>
    <row r="117">
      <c r="A117" s="1" t="s">
        <v>123</v>
      </c>
      <c r="B117" s="1">
        <v>10789.0</v>
      </c>
      <c r="C117" s="2" t="str">
        <f>IFERROR(__xludf.DUMMYFUNCTION("SPLIT(A117, "" + "", FALSE)"),"Double Riichi")</f>
        <v>Double Riichi</v>
      </c>
      <c r="D117" s="2" t="str">
        <f>IFERROR(__xludf.DUMMYFUNCTION("""COMPUTED_VALUE"""),"Tsumo")</f>
        <v>Tsumo</v>
      </c>
    </row>
    <row r="118">
      <c r="A118" s="1" t="s">
        <v>124</v>
      </c>
      <c r="B118" s="1">
        <v>10728.0</v>
      </c>
      <c r="C118" s="2" t="str">
        <f>IFERROR(__xludf.DUMMYFUNCTION("SPLIT(A118, "" + "", FALSE)"),"Chanta")</f>
        <v>Chanta</v>
      </c>
      <c r="D118" s="2" t="str">
        <f>IFERROR(__xludf.DUMMYFUNCTION("""COMPUTED_VALUE"""),"Honitsu")</f>
        <v>Honitsu</v>
      </c>
    </row>
    <row r="119">
      <c r="A119" s="1" t="s">
        <v>125</v>
      </c>
      <c r="B119" s="1">
        <v>10326.0</v>
      </c>
      <c r="C119" s="2" t="str">
        <f>IFERROR(__xludf.DUMMYFUNCTION("SPLIT(A119, "" + "", FALSE)"),"Chinitsu")</f>
        <v>Chinitsu</v>
      </c>
      <c r="D119" s="2" t="str">
        <f>IFERROR(__xludf.DUMMYFUNCTION("""COMPUTED_VALUE"""),"Dora")</f>
        <v>Dora</v>
      </c>
    </row>
    <row r="120">
      <c r="A120" s="1" t="s">
        <v>126</v>
      </c>
      <c r="B120" s="1">
        <v>10300.0</v>
      </c>
      <c r="C120" s="2" t="str">
        <f>IFERROR(__xludf.DUMMYFUNCTION("SPLIT(A120, "" + "", FALSE)"),"Haitei")</f>
        <v>Haitei</v>
      </c>
      <c r="D120" s="2" t="str">
        <f>IFERROR(__xludf.DUMMYFUNCTION("""COMPUTED_VALUE"""),"Pinfu")</f>
        <v>Pinfu</v>
      </c>
    </row>
    <row r="121">
      <c r="A121" s="1" t="s">
        <v>127</v>
      </c>
      <c r="B121" s="1">
        <v>10217.0</v>
      </c>
      <c r="C121" s="2" t="str">
        <f>IFERROR(__xludf.DUMMYFUNCTION("SPLIT(A121, "" + "", FALSE)"),"Rinshan")</f>
        <v>Rinshan</v>
      </c>
      <c r="D121" s="2" t="str">
        <f>IFERROR(__xludf.DUMMYFUNCTION("""COMPUTED_VALUE"""),"Yakuhai Dragon")</f>
        <v>Yakuhai Dragon</v>
      </c>
    </row>
    <row r="122">
      <c r="A122" s="1" t="s">
        <v>128</v>
      </c>
      <c r="B122" s="1">
        <v>9968.0</v>
      </c>
      <c r="C122" s="2" t="str">
        <f>IFERROR(__xludf.DUMMYFUNCTION("SPLIT(A122, "" + "", FALSE)"),"Rinshan")</f>
        <v>Rinshan</v>
      </c>
      <c r="D122" s="2" t="str">
        <f>IFERROR(__xludf.DUMMYFUNCTION("""COMPUTED_VALUE"""),"Tsumo")</f>
        <v>Tsumo</v>
      </c>
    </row>
    <row r="123">
      <c r="A123" s="1" t="s">
        <v>129</v>
      </c>
      <c r="B123" s="1">
        <v>9826.0</v>
      </c>
      <c r="C123" s="2" t="str">
        <f>IFERROR(__xludf.DUMMYFUNCTION("SPLIT(A123, "" + "", FALSE)"),"Iipeikou")</f>
        <v>Iipeikou</v>
      </c>
      <c r="D123" s="2" t="str">
        <f>IFERROR(__xludf.DUMMYFUNCTION("""COMPUTED_VALUE"""),"Yakuhai Dragon")</f>
        <v>Yakuhai Dragon</v>
      </c>
    </row>
    <row r="124">
      <c r="A124" s="1" t="s">
        <v>130</v>
      </c>
      <c r="B124" s="1">
        <v>9301.0</v>
      </c>
      <c r="C124" s="2" t="str">
        <f>IFERROR(__xludf.DUMMYFUNCTION("SPLIT(A124, "" + "", FALSE)"),"Itsu")</f>
        <v>Itsu</v>
      </c>
      <c r="D124" s="2" t="str">
        <f>IFERROR(__xludf.DUMMYFUNCTION("""COMPUTED_VALUE"""),"Yakuhai Dragon")</f>
        <v>Yakuhai Dragon</v>
      </c>
    </row>
    <row r="125">
      <c r="A125" s="1" t="s">
        <v>131</v>
      </c>
      <c r="B125" s="1">
        <v>8852.0</v>
      </c>
      <c r="C125" s="2" t="str">
        <f>IFERROR(__xludf.DUMMYFUNCTION("SPLIT(A125, "" + "", FALSE)"),"Riichi")</f>
        <v>Riichi</v>
      </c>
      <c r="D125" s="2" t="str">
        <f>IFERROR(__xludf.DUMMYFUNCTION("""COMPUTED_VALUE"""),"Chanta")</f>
        <v>Chanta</v>
      </c>
    </row>
    <row r="126">
      <c r="A126" s="1" t="s">
        <v>132</v>
      </c>
      <c r="B126" s="1">
        <v>8785.0</v>
      </c>
      <c r="C126" s="2" t="str">
        <f>IFERROR(__xludf.DUMMYFUNCTION("SPLIT(A126, "" + "", FALSE)"),"Ippatsu")</f>
        <v>Ippatsu</v>
      </c>
      <c r="D126" s="2" t="str">
        <f>IFERROR(__xludf.DUMMYFUNCTION("""COMPUTED_VALUE"""),"Itsu")</f>
        <v>Itsu</v>
      </c>
    </row>
    <row r="127">
      <c r="A127" s="1" t="s">
        <v>133</v>
      </c>
      <c r="B127" s="1">
        <v>7853.0</v>
      </c>
      <c r="C127" s="2" t="str">
        <f>IFERROR(__xludf.DUMMYFUNCTION("SPLIT(A127, "" + "", FALSE)"),"Riichi")</f>
        <v>Riichi</v>
      </c>
      <c r="D127" s="2" t="str">
        <f>IFERROR(__xludf.DUMMYFUNCTION("""COMPUTED_VALUE"""),"Rinshan")</f>
        <v>Rinshan</v>
      </c>
    </row>
    <row r="128">
      <c r="A128" s="1" t="s">
        <v>134</v>
      </c>
      <c r="B128" s="1">
        <v>7649.0</v>
      </c>
      <c r="C128" s="2" t="str">
        <f>IFERROR(__xludf.DUMMYFUNCTION("SPLIT(A128, "" + "", FALSE)"),"Haitei")</f>
        <v>Haitei</v>
      </c>
      <c r="D128" s="2" t="str">
        <f>IFERROR(__xludf.DUMMYFUNCTION("""COMPUTED_VALUE"""),"Uradora")</f>
        <v>Uradora</v>
      </c>
    </row>
    <row r="129">
      <c r="A129" s="1" t="s">
        <v>135</v>
      </c>
      <c r="B129" s="1">
        <v>7620.0</v>
      </c>
      <c r="C129" s="2" t="str">
        <f>IFERROR(__xludf.DUMMYFUNCTION("SPLIT(A129, "" + "", FALSE)"),"Houtei")</f>
        <v>Houtei</v>
      </c>
      <c r="D129" s="2" t="str">
        <f>IFERROR(__xludf.DUMMYFUNCTION("""COMPUTED_VALUE"""),"Pinfu")</f>
        <v>Pinfu</v>
      </c>
    </row>
    <row r="130">
      <c r="A130" s="1" t="s">
        <v>136</v>
      </c>
      <c r="B130" s="1">
        <v>7523.0</v>
      </c>
      <c r="C130" s="2" t="str">
        <f>IFERROR(__xludf.DUMMYFUNCTION("SPLIT(A130, "" + "", FALSE)"),"Haitei")</f>
        <v>Haitei</v>
      </c>
      <c r="D130" s="2" t="str">
        <f>IFERROR(__xludf.DUMMYFUNCTION("""COMPUTED_VALUE"""),"Yakuhai Dragon")</f>
        <v>Yakuhai Dragon</v>
      </c>
    </row>
    <row r="131">
      <c r="A131" s="1" t="s">
        <v>137</v>
      </c>
      <c r="B131" s="1">
        <v>7370.0</v>
      </c>
      <c r="C131" s="2" t="str">
        <f>IFERROR(__xludf.DUMMYFUNCTION("SPLIT(A131, "" + "", FALSE)"),"Double Riichi")</f>
        <v>Double Riichi</v>
      </c>
      <c r="D131" s="2" t="str">
        <f>IFERROR(__xludf.DUMMYFUNCTION("""COMPUTED_VALUE"""),"Akadora")</f>
        <v>Akadora</v>
      </c>
    </row>
    <row r="132">
      <c r="A132" s="1" t="s">
        <v>138</v>
      </c>
      <c r="B132" s="1">
        <v>7277.0</v>
      </c>
      <c r="C132" s="2" t="str">
        <f>IFERROR(__xludf.DUMMYFUNCTION("SPLIT(A132, "" + "", FALSE)"),"Rinshan")</f>
        <v>Rinshan</v>
      </c>
      <c r="D132" s="2" t="str">
        <f>IFERROR(__xludf.DUMMYFUNCTION("""COMPUTED_VALUE"""),"Yakuhai Wind")</f>
        <v>Yakuhai Wind</v>
      </c>
    </row>
    <row r="133">
      <c r="A133" s="1" t="s">
        <v>139</v>
      </c>
      <c r="B133" s="1">
        <v>6626.0</v>
      </c>
      <c r="C133" s="2" t="str">
        <f>IFERROR(__xludf.DUMMYFUNCTION("SPLIT(A133, "" + "", FALSE)"),"Iipeikou")</f>
        <v>Iipeikou</v>
      </c>
      <c r="D133" s="2" t="str">
        <f>IFERROR(__xludf.DUMMYFUNCTION("""COMPUTED_VALUE"""),"Honitsu")</f>
        <v>Honitsu</v>
      </c>
    </row>
    <row r="134">
      <c r="A134" s="1" t="s">
        <v>140</v>
      </c>
      <c r="B134" s="1">
        <v>6538.0</v>
      </c>
      <c r="C134" s="2" t="str">
        <f>IFERROR(__xludf.DUMMYFUNCTION("SPLIT(A134, "" + "", FALSE)"),"Double Riichi")</f>
        <v>Double Riichi</v>
      </c>
      <c r="D134" s="2" t="str">
        <f>IFERROR(__xludf.DUMMYFUNCTION("""COMPUTED_VALUE"""),"Uradora")</f>
        <v>Uradora</v>
      </c>
    </row>
    <row r="135">
      <c r="A135" s="1" t="s">
        <v>141</v>
      </c>
      <c r="B135" s="1">
        <v>6397.0</v>
      </c>
      <c r="C135" s="2" t="str">
        <f>IFERROR(__xludf.DUMMYFUNCTION("SPLIT(A135, "" + "", FALSE)"),"Double Riichi")</f>
        <v>Double Riichi</v>
      </c>
      <c r="D135" s="2" t="str">
        <f>IFERROR(__xludf.DUMMYFUNCTION("""COMPUTED_VALUE"""),"Dora")</f>
        <v>Dora</v>
      </c>
    </row>
    <row r="136">
      <c r="A136" s="1" t="s">
        <v>142</v>
      </c>
      <c r="B136" s="1">
        <v>6387.0</v>
      </c>
      <c r="C136" s="2" t="str">
        <f>IFERROR(__xludf.DUMMYFUNCTION("SPLIT(A136, "" + "", FALSE)"),"Chiitoitsu")</f>
        <v>Chiitoitsu</v>
      </c>
      <c r="D136" s="2" t="str">
        <f>IFERROR(__xludf.DUMMYFUNCTION("""COMPUTED_VALUE"""),"Honitsu")</f>
        <v>Honitsu</v>
      </c>
    </row>
    <row r="137">
      <c r="A137" s="1" t="s">
        <v>143</v>
      </c>
      <c r="B137" s="1">
        <v>6260.0</v>
      </c>
      <c r="C137" s="2" t="str">
        <f>IFERROR(__xludf.DUMMYFUNCTION("SPLIT(A137, "" + "", FALSE)"),"Houtei")</f>
        <v>Houtei</v>
      </c>
      <c r="D137" s="2" t="str">
        <f>IFERROR(__xludf.DUMMYFUNCTION("""COMPUTED_VALUE"""),"Yakuhai Dragon")</f>
        <v>Yakuhai Dragon</v>
      </c>
    </row>
    <row r="138">
      <c r="A138" s="1" t="s">
        <v>144</v>
      </c>
      <c r="B138" s="1">
        <v>6258.0</v>
      </c>
      <c r="C138" s="2" t="str">
        <f>IFERROR(__xludf.DUMMYFUNCTION("SPLIT(A138, "" + "", FALSE)"),"Iipeikou")</f>
        <v>Iipeikou</v>
      </c>
      <c r="D138" s="2" t="str">
        <f>IFERROR(__xludf.DUMMYFUNCTION("""COMPUTED_VALUE"""),"Yakuhai Wind")</f>
        <v>Yakuhai Wind</v>
      </c>
    </row>
    <row r="139">
      <c r="A139" s="1" t="s">
        <v>145</v>
      </c>
      <c r="B139" s="1">
        <v>6110.0</v>
      </c>
      <c r="C139" s="2" t="str">
        <f>IFERROR(__xludf.DUMMYFUNCTION("SPLIT(A139, "" + "", FALSE)"),"Sanankou")</f>
        <v>Sanankou</v>
      </c>
      <c r="D139" s="2" t="str">
        <f>IFERROR(__xludf.DUMMYFUNCTION("""COMPUTED_VALUE"""),"Uradora")</f>
        <v>Uradora</v>
      </c>
    </row>
    <row r="140">
      <c r="A140" s="1" t="s">
        <v>146</v>
      </c>
      <c r="B140" s="1">
        <v>6012.0</v>
      </c>
      <c r="C140" s="2" t="str">
        <f>IFERROR(__xludf.DUMMYFUNCTION("SPLIT(A140, "" + "", FALSE)"),"Itsu")</f>
        <v>Itsu</v>
      </c>
      <c r="D140" s="2" t="str">
        <f>IFERROR(__xludf.DUMMYFUNCTION("""COMPUTED_VALUE"""),"Yakuhai Wind")</f>
        <v>Yakuhai Wind</v>
      </c>
    </row>
    <row r="141">
      <c r="A141" s="1" t="s">
        <v>147</v>
      </c>
      <c r="B141" s="1">
        <v>5485.0</v>
      </c>
      <c r="C141" s="2" t="str">
        <f>IFERROR(__xludf.DUMMYFUNCTION("SPLIT(A141, "" + "", FALSE)"),"Iipeikou")</f>
        <v>Iipeikou</v>
      </c>
      <c r="D141" s="2" t="str">
        <f>IFERROR(__xludf.DUMMYFUNCTION("""COMPUTED_VALUE"""),"Doujun")</f>
        <v>Doujun</v>
      </c>
    </row>
    <row r="142">
      <c r="A142" s="1" t="s">
        <v>148</v>
      </c>
      <c r="B142" s="1">
        <v>5417.0</v>
      </c>
      <c r="C142" s="2" t="str">
        <f>IFERROR(__xludf.DUMMYFUNCTION("SPLIT(A142, "" + "", FALSE)"),"Houtei")</f>
        <v>Houtei</v>
      </c>
      <c r="D142" s="2" t="str">
        <f>IFERROR(__xludf.DUMMYFUNCTION("""COMPUTED_VALUE"""),"Uradora")</f>
        <v>Uradora</v>
      </c>
    </row>
    <row r="143">
      <c r="A143" s="1" t="s">
        <v>149</v>
      </c>
      <c r="B143" s="1">
        <v>5281.0</v>
      </c>
      <c r="C143" s="2" t="str">
        <f>IFERROR(__xludf.DUMMYFUNCTION("SPLIT(A143, "" + "", FALSE)"),"Haitei")</f>
        <v>Haitei</v>
      </c>
      <c r="D143" s="2" t="str">
        <f>IFERROR(__xludf.DUMMYFUNCTION("""COMPUTED_VALUE"""),"Yakuhai Wind")</f>
        <v>Yakuhai Wind</v>
      </c>
    </row>
    <row r="144">
      <c r="A144" s="1" t="s">
        <v>150</v>
      </c>
      <c r="B144" s="1">
        <v>5192.0</v>
      </c>
      <c r="C144" s="2" t="str">
        <f>IFERROR(__xludf.DUMMYFUNCTION("SPLIT(A144, "" + "", FALSE)"),"Ippatsu")</f>
        <v>Ippatsu</v>
      </c>
      <c r="D144" s="2" t="str">
        <f>IFERROR(__xludf.DUMMYFUNCTION("""COMPUTED_VALUE"""),"Sanankou")</f>
        <v>Sanankou</v>
      </c>
    </row>
    <row r="145">
      <c r="A145" s="1" t="s">
        <v>151</v>
      </c>
      <c r="B145" s="1">
        <v>4965.0</v>
      </c>
      <c r="C145" s="2" t="str">
        <f>IFERROR(__xludf.DUMMYFUNCTION("SPLIT(A145, "" + "", FALSE)"),"Rinshan")</f>
        <v>Rinshan</v>
      </c>
      <c r="D145" s="2" t="str">
        <f>IFERROR(__xludf.DUMMYFUNCTION("""COMPUTED_VALUE"""),"Tanyao")</f>
        <v>Tanyao</v>
      </c>
    </row>
    <row r="146">
      <c r="A146" s="1" t="s">
        <v>152</v>
      </c>
      <c r="B146" s="1">
        <v>4897.0</v>
      </c>
      <c r="C146" s="2" t="str">
        <f>IFERROR(__xludf.DUMMYFUNCTION("SPLIT(A146, "" + "", FALSE)"),"Tsumo")</f>
        <v>Tsumo</v>
      </c>
      <c r="D146" s="2" t="str">
        <f>IFERROR(__xludf.DUMMYFUNCTION("""COMPUTED_VALUE"""),"Chanta")</f>
        <v>Chanta</v>
      </c>
    </row>
    <row r="147">
      <c r="A147" s="1" t="s">
        <v>153</v>
      </c>
      <c r="B147" s="1">
        <v>4445.0</v>
      </c>
      <c r="C147" s="2" t="str">
        <f>IFERROR(__xludf.DUMMYFUNCTION("SPLIT(A147, "" + "", FALSE)"),"Riichi")</f>
        <v>Riichi</v>
      </c>
      <c r="D147" s="2" t="str">
        <f>IFERROR(__xludf.DUMMYFUNCTION("""COMPUTED_VALUE"""),"Junchan")</f>
        <v>Junchan</v>
      </c>
    </row>
    <row r="148">
      <c r="A148" s="1" t="s">
        <v>154</v>
      </c>
      <c r="B148" s="1">
        <v>4338.0</v>
      </c>
      <c r="C148" s="2" t="str">
        <f>IFERROR(__xludf.DUMMYFUNCTION("SPLIT(A148, "" + "", FALSE)"),"Houtei")</f>
        <v>Houtei</v>
      </c>
      <c r="D148" s="2" t="str">
        <f>IFERROR(__xludf.DUMMYFUNCTION("""COMPUTED_VALUE"""),"Yakuhai Wind")</f>
        <v>Yakuhai Wind</v>
      </c>
    </row>
    <row r="149">
      <c r="A149" s="1" t="s">
        <v>155</v>
      </c>
      <c r="B149" s="1">
        <v>4156.0</v>
      </c>
      <c r="C149" s="2" t="str">
        <f>IFERROR(__xludf.DUMMYFUNCTION("SPLIT(A149, "" + "", FALSE)"),"Shousangen")</f>
        <v>Shousangen</v>
      </c>
      <c r="D149" s="2" t="str">
        <f>IFERROR(__xludf.DUMMYFUNCTION("""COMPUTED_VALUE"""),"Honitsu")</f>
        <v>Honitsu</v>
      </c>
    </row>
    <row r="150">
      <c r="A150" s="1" t="s">
        <v>156</v>
      </c>
      <c r="B150" s="1">
        <v>3933.0</v>
      </c>
      <c r="C150" s="2" t="str">
        <f>IFERROR(__xludf.DUMMYFUNCTION("SPLIT(A150, "" + "", FALSE)"),"Sanankou")</f>
        <v>Sanankou</v>
      </c>
      <c r="D150" s="2" t="str">
        <f>IFERROR(__xludf.DUMMYFUNCTION("""COMPUTED_VALUE"""),"Honitsu")</f>
        <v>Honitsu</v>
      </c>
    </row>
    <row r="151">
      <c r="A151" s="1" t="s">
        <v>157</v>
      </c>
      <c r="B151" s="1">
        <v>3868.0</v>
      </c>
      <c r="C151" s="2" t="str">
        <f>IFERROR(__xludf.DUMMYFUNCTION("SPLIT(A151, "" + "", FALSE)"),"Double Riichi")</f>
        <v>Double Riichi</v>
      </c>
      <c r="D151" s="2" t="str">
        <f>IFERROR(__xludf.DUMMYFUNCTION("""COMPUTED_VALUE"""),"Pinfu")</f>
        <v>Pinfu</v>
      </c>
    </row>
    <row r="152">
      <c r="A152" s="1" t="s">
        <v>158</v>
      </c>
      <c r="B152" s="1">
        <v>3867.0</v>
      </c>
      <c r="C152" s="2" t="str">
        <f>IFERROR(__xludf.DUMMYFUNCTION("SPLIT(A152, "" + "", FALSE)"),"Rinshan")</f>
        <v>Rinshan</v>
      </c>
      <c r="D152" s="2" t="str">
        <f>IFERROR(__xludf.DUMMYFUNCTION("""COMPUTED_VALUE"""),"Uradora")</f>
        <v>Uradora</v>
      </c>
    </row>
    <row r="153">
      <c r="A153" s="1" t="s">
        <v>159</v>
      </c>
      <c r="B153" s="1">
        <v>3618.0</v>
      </c>
      <c r="C153" s="2" t="str">
        <f>IFERROR(__xludf.DUMMYFUNCTION("SPLIT(A153, "" + "", FALSE)"),"Itsu")</f>
        <v>Itsu</v>
      </c>
      <c r="D153" s="2" t="str">
        <f>IFERROR(__xludf.DUMMYFUNCTION("""COMPUTED_VALUE"""),"Chinitsu")</f>
        <v>Chinitsu</v>
      </c>
    </row>
    <row r="154">
      <c r="A154" s="1" t="s">
        <v>160</v>
      </c>
      <c r="B154" s="1">
        <v>3169.0</v>
      </c>
      <c r="C154" s="2" t="str">
        <f>IFERROR(__xludf.DUMMYFUNCTION("SPLIT(A154, "" + "", FALSE)"),"Riichi")</f>
        <v>Riichi</v>
      </c>
      <c r="D154" s="2" t="str">
        <f>IFERROR(__xludf.DUMMYFUNCTION("""COMPUTED_VALUE"""),"Toitoi")</f>
        <v>Toitoi</v>
      </c>
    </row>
    <row r="155">
      <c r="A155" s="1" t="s">
        <v>161</v>
      </c>
      <c r="B155" s="1">
        <v>2837.0</v>
      </c>
      <c r="C155" s="2" t="str">
        <f>IFERROR(__xludf.DUMMYFUNCTION("SPLIT(A155, "" + "", FALSE)"),"Tsumo")</f>
        <v>Tsumo</v>
      </c>
      <c r="D155" s="2" t="str">
        <f>IFERROR(__xludf.DUMMYFUNCTION("""COMPUTED_VALUE"""),"Junchan")</f>
        <v>Junchan</v>
      </c>
    </row>
    <row r="156">
      <c r="A156" s="1" t="s">
        <v>162</v>
      </c>
      <c r="B156" s="1">
        <v>2807.0</v>
      </c>
      <c r="C156" s="2" t="str">
        <f>IFERROR(__xludf.DUMMYFUNCTION("SPLIT(A156, "" + "", FALSE)"),"Toitoi")</f>
        <v>Toitoi</v>
      </c>
      <c r="D156" s="2" t="str">
        <f>IFERROR(__xludf.DUMMYFUNCTION("""COMPUTED_VALUE"""),"Honroutou")</f>
        <v>Honroutou</v>
      </c>
    </row>
    <row r="157">
      <c r="A157" s="1" t="s">
        <v>163</v>
      </c>
      <c r="B157" s="1">
        <v>2782.0</v>
      </c>
      <c r="C157" s="2" t="str">
        <f>IFERROR(__xludf.DUMMYFUNCTION("SPLIT(A157, "" + "", FALSE)"),"Chanta")</f>
        <v>Chanta</v>
      </c>
      <c r="D157" s="2" t="str">
        <f>IFERROR(__xludf.DUMMYFUNCTION("""COMPUTED_VALUE"""),"Uradora")</f>
        <v>Uradora</v>
      </c>
    </row>
    <row r="158">
      <c r="A158" s="1" t="s">
        <v>164</v>
      </c>
      <c r="B158" s="1">
        <v>2727.0</v>
      </c>
      <c r="C158" s="2" t="str">
        <f>IFERROR(__xludf.DUMMYFUNCTION("SPLIT(A158, "" + "", FALSE)"),"Double Riichi")</f>
        <v>Double Riichi</v>
      </c>
      <c r="D158" s="2" t="str">
        <f>IFERROR(__xludf.DUMMYFUNCTION("""COMPUTED_VALUE"""),"Chiitoitsu")</f>
        <v>Chiitoitsu</v>
      </c>
    </row>
    <row r="159">
      <c r="A159" s="1" t="s">
        <v>165</v>
      </c>
      <c r="B159" s="1">
        <v>2707.0</v>
      </c>
      <c r="C159" s="2" t="str">
        <f>IFERROR(__xludf.DUMMYFUNCTION("SPLIT(A159, "" + "", FALSE)"),"Ippatsu")</f>
        <v>Ippatsu</v>
      </c>
      <c r="D159" s="2" t="str">
        <f>IFERROR(__xludf.DUMMYFUNCTION("""COMPUTED_VALUE"""),"Honitsu")</f>
        <v>Honitsu</v>
      </c>
    </row>
    <row r="160">
      <c r="A160" s="1" t="s">
        <v>166</v>
      </c>
      <c r="B160" s="1">
        <v>2670.0</v>
      </c>
      <c r="C160" s="2" t="str">
        <f>IFERROR(__xludf.DUMMYFUNCTION("SPLIT(A160, "" + "", FALSE)"),"Honitsu")</f>
        <v>Honitsu</v>
      </c>
      <c r="D160" s="2" t="str">
        <f>IFERROR(__xludf.DUMMYFUNCTION("""COMPUTED_VALUE"""),"Uradora")</f>
        <v>Uradora</v>
      </c>
    </row>
    <row r="161">
      <c r="A161" s="1" t="s">
        <v>167</v>
      </c>
      <c r="B161" s="1">
        <v>2514.0</v>
      </c>
      <c r="C161" s="2" t="str">
        <f>IFERROR(__xludf.DUMMYFUNCTION("SPLIT(A161, "" + "", FALSE)"),"Yakuhai Dragon")</f>
        <v>Yakuhai Dragon</v>
      </c>
      <c r="D161" s="2" t="str">
        <f>IFERROR(__xludf.DUMMYFUNCTION("""COMPUTED_VALUE"""),"Honroutou")</f>
        <v>Honroutou</v>
      </c>
    </row>
    <row r="162">
      <c r="A162" s="1" t="s">
        <v>168</v>
      </c>
      <c r="B162" s="1">
        <v>2502.0</v>
      </c>
      <c r="C162" s="2" t="str">
        <f>IFERROR(__xludf.DUMMYFUNCTION("SPLIT(A162, "" + "", FALSE)"),"Iipeikou")</f>
        <v>Iipeikou</v>
      </c>
      <c r="D162" s="2" t="str">
        <f>IFERROR(__xludf.DUMMYFUNCTION("""COMPUTED_VALUE"""),"Chinitsu")</f>
        <v>Chinitsu</v>
      </c>
    </row>
    <row r="163">
      <c r="A163" s="1" t="s">
        <v>169</v>
      </c>
      <c r="B163" s="1">
        <v>2445.0</v>
      </c>
      <c r="C163" s="2" t="str">
        <f>IFERROR(__xludf.DUMMYFUNCTION("SPLIT(A163, "" + "", FALSE)"),"Double Riichi")</f>
        <v>Double Riichi</v>
      </c>
      <c r="D163" s="2" t="str">
        <f>IFERROR(__xludf.DUMMYFUNCTION("""COMPUTED_VALUE"""),"Ippatsu")</f>
        <v>Ippatsu</v>
      </c>
    </row>
    <row r="164">
      <c r="A164" s="1" t="s">
        <v>170</v>
      </c>
      <c r="B164" s="1">
        <v>2338.0</v>
      </c>
      <c r="C164" s="2" t="str">
        <f>IFERROR(__xludf.DUMMYFUNCTION("SPLIT(A164, "" + "", FALSE)"),"Rinshan")</f>
        <v>Rinshan</v>
      </c>
      <c r="D164" s="2" t="str">
        <f>IFERROR(__xludf.DUMMYFUNCTION("""COMPUTED_VALUE"""),"Honitsu")</f>
        <v>Honitsu</v>
      </c>
    </row>
    <row r="165">
      <c r="A165" s="1" t="s">
        <v>171</v>
      </c>
      <c r="B165" s="1">
        <v>2216.0</v>
      </c>
      <c r="C165" s="2" t="str">
        <f>IFERROR(__xludf.DUMMYFUNCTION("SPLIT(A165, "" + "", FALSE)"),"Haitei")</f>
        <v>Haitei</v>
      </c>
      <c r="D165" s="2" t="str">
        <f>IFERROR(__xludf.DUMMYFUNCTION("""COMPUTED_VALUE"""),"Honitsu")</f>
        <v>Honitsu</v>
      </c>
    </row>
    <row r="166">
      <c r="A166" s="1" t="s">
        <v>172</v>
      </c>
      <c r="B166" s="1">
        <v>2191.0</v>
      </c>
      <c r="C166" s="2" t="str">
        <f>IFERROR(__xludf.DUMMYFUNCTION("SPLIT(A166, "" + "", FALSE)"),"Tsumo")</f>
        <v>Tsumo</v>
      </c>
      <c r="D166" s="2" t="str">
        <f>IFERROR(__xludf.DUMMYFUNCTION("""COMPUTED_VALUE"""),"Chinitsu")</f>
        <v>Chinitsu</v>
      </c>
    </row>
    <row r="167">
      <c r="A167" s="1" t="s">
        <v>173</v>
      </c>
      <c r="B167" s="1">
        <v>2114.0</v>
      </c>
      <c r="C167" s="2" t="str">
        <f>IFERROR(__xludf.DUMMYFUNCTION("SPLIT(A167, "" + "", FALSE)"),"Haitei")</f>
        <v>Haitei</v>
      </c>
      <c r="D167" s="2" t="str">
        <f>IFERROR(__xludf.DUMMYFUNCTION("""COMPUTED_VALUE"""),"Iipeikou")</f>
        <v>Iipeikou</v>
      </c>
    </row>
    <row r="168">
      <c r="A168" s="1" t="s">
        <v>174</v>
      </c>
      <c r="B168" s="1">
        <v>2077.0</v>
      </c>
      <c r="C168" s="2" t="str">
        <f>IFERROR(__xludf.DUMMYFUNCTION("SPLIT(A168, "" + "", FALSE)"),"Pinfu")</f>
        <v>Pinfu</v>
      </c>
      <c r="D168" s="2" t="str">
        <f>IFERROR(__xludf.DUMMYFUNCTION("""COMPUTED_VALUE"""),"Ryanpeikou")</f>
        <v>Ryanpeikou</v>
      </c>
    </row>
    <row r="169">
      <c r="A169" s="1" t="s">
        <v>175</v>
      </c>
      <c r="B169" s="1">
        <v>2040.0</v>
      </c>
      <c r="C169" s="2" t="str">
        <f>IFERROR(__xludf.DUMMYFUNCTION("SPLIT(A169, "" + "", FALSE)"),"Tanyao")</f>
        <v>Tanyao</v>
      </c>
      <c r="D169" s="2" t="str">
        <f>IFERROR(__xludf.DUMMYFUNCTION("""COMPUTED_VALUE"""),"Chinitsu")</f>
        <v>Chinitsu</v>
      </c>
    </row>
    <row r="170">
      <c r="A170" s="1" t="s">
        <v>176</v>
      </c>
      <c r="B170" s="1">
        <v>2027.0</v>
      </c>
      <c r="C170" s="2" t="str">
        <f>IFERROR(__xludf.DUMMYFUNCTION("SPLIT(A170, "" + "", FALSE)"),"Pinfu")</f>
        <v>Pinfu</v>
      </c>
      <c r="D170" s="2" t="str">
        <f>IFERROR(__xludf.DUMMYFUNCTION("""COMPUTED_VALUE"""),"Junchan")</f>
        <v>Junchan</v>
      </c>
    </row>
    <row r="171">
      <c r="A171" s="1" t="s">
        <v>177</v>
      </c>
      <c r="B171" s="1">
        <v>1902.0</v>
      </c>
      <c r="C171" s="2" t="str">
        <f>IFERROR(__xludf.DUMMYFUNCTION("SPLIT(A171, "" + "", FALSE)"),"Iipeikou")</f>
        <v>Iipeikou</v>
      </c>
      <c r="D171" s="2" t="str">
        <f>IFERROR(__xludf.DUMMYFUNCTION("""COMPUTED_VALUE"""),"Chanta")</f>
        <v>Chanta</v>
      </c>
    </row>
    <row r="172">
      <c r="A172" s="1" t="s">
        <v>178</v>
      </c>
      <c r="B172" s="1">
        <v>1884.0</v>
      </c>
      <c r="C172" s="2" t="str">
        <f>IFERROR(__xludf.DUMMYFUNCTION("SPLIT(A172, "" + "", FALSE)"),"Houtei")</f>
        <v>Houtei</v>
      </c>
      <c r="D172" s="2" t="str">
        <f>IFERROR(__xludf.DUMMYFUNCTION("""COMPUTED_VALUE"""),"Iipeikou")</f>
        <v>Iipeikou</v>
      </c>
    </row>
    <row r="173">
      <c r="A173" s="1" t="s">
        <v>179</v>
      </c>
      <c r="B173" s="1">
        <v>1852.0</v>
      </c>
      <c r="C173" s="2" t="str">
        <f>IFERROR(__xludf.DUMMYFUNCTION("SPLIT(A173, "" + "", FALSE)"),"Pinfu")</f>
        <v>Pinfu</v>
      </c>
      <c r="D173" s="2" t="str">
        <f>IFERROR(__xludf.DUMMYFUNCTION("""COMPUTED_VALUE"""),"Chinitsu")</f>
        <v>Chinitsu</v>
      </c>
    </row>
    <row r="174">
      <c r="A174" s="1" t="s">
        <v>180</v>
      </c>
      <c r="B174" s="1">
        <v>1712.0</v>
      </c>
      <c r="C174" s="2" t="str">
        <f>IFERROR(__xludf.DUMMYFUNCTION("SPLIT(A174, "" + "", FALSE)"),"Ippatsu")</f>
        <v>Ippatsu</v>
      </c>
      <c r="D174" s="2" t="str">
        <f>IFERROR(__xludf.DUMMYFUNCTION("""COMPUTED_VALUE"""),"Chanta")</f>
        <v>Chanta</v>
      </c>
    </row>
    <row r="175">
      <c r="A175" s="1" t="s">
        <v>181</v>
      </c>
      <c r="B175" s="1">
        <v>1701.0</v>
      </c>
      <c r="C175" s="2" t="str">
        <f>IFERROR(__xludf.DUMMYFUNCTION("SPLIT(A175, "" + "", FALSE)"),"Iipeikou")</f>
        <v>Iipeikou</v>
      </c>
      <c r="D175" s="2" t="str">
        <f>IFERROR(__xludf.DUMMYFUNCTION("""COMPUTED_VALUE"""),"Junchan")</f>
        <v>Junchan</v>
      </c>
    </row>
    <row r="176">
      <c r="A176" s="1" t="s">
        <v>182</v>
      </c>
      <c r="B176" s="1">
        <v>1687.0</v>
      </c>
      <c r="C176" s="2" t="str">
        <f>IFERROR(__xludf.DUMMYFUNCTION("SPLIT(A176, "" + "", FALSE)"),"Ryanpeikou")</f>
        <v>Ryanpeikou</v>
      </c>
      <c r="D176" s="2" t="str">
        <f>IFERROR(__xludf.DUMMYFUNCTION("""COMPUTED_VALUE"""),"Akadora")</f>
        <v>Akadora</v>
      </c>
    </row>
    <row r="177">
      <c r="A177" s="1" t="s">
        <v>183</v>
      </c>
      <c r="B177" s="1">
        <v>1634.0</v>
      </c>
      <c r="C177" s="2" t="str">
        <f>IFERROR(__xludf.DUMMYFUNCTION("SPLIT(A177, "" + "", FALSE)"),"Haitei")</f>
        <v>Haitei</v>
      </c>
      <c r="D177" s="2" t="str">
        <f>IFERROR(__xludf.DUMMYFUNCTION("""COMPUTED_VALUE"""),"Doujun")</f>
        <v>Doujun</v>
      </c>
    </row>
    <row r="178">
      <c r="A178" s="1" t="s">
        <v>184</v>
      </c>
      <c r="B178" s="1">
        <v>1632.0</v>
      </c>
      <c r="C178" s="2" t="str">
        <f>IFERROR(__xludf.DUMMYFUNCTION("SPLIT(A178, "" + "", FALSE)"),"Houtei")</f>
        <v>Houtei</v>
      </c>
      <c r="D178" s="2" t="str">
        <f>IFERROR(__xludf.DUMMYFUNCTION("""COMPUTED_VALUE"""),"Doujun")</f>
        <v>Doujun</v>
      </c>
    </row>
    <row r="179">
      <c r="A179" s="1" t="s">
        <v>185</v>
      </c>
      <c r="B179" s="1">
        <v>1607.0</v>
      </c>
      <c r="C179" s="2" t="str">
        <f>IFERROR(__xludf.DUMMYFUNCTION("SPLIT(A179, "" + "", FALSE)"),"Houtei")</f>
        <v>Houtei</v>
      </c>
      <c r="D179" s="2" t="str">
        <f>IFERROR(__xludf.DUMMYFUNCTION("""COMPUTED_VALUE"""),"Chiitoitsu")</f>
        <v>Chiitoitsu</v>
      </c>
    </row>
    <row r="180">
      <c r="A180" s="1" t="s">
        <v>186</v>
      </c>
      <c r="B180" s="1">
        <v>1607.0</v>
      </c>
      <c r="C180" s="2" t="str">
        <f>IFERROR(__xludf.DUMMYFUNCTION("SPLIT(A180, "" + "", FALSE)"),"Yakuhai Wind")</f>
        <v>Yakuhai Wind</v>
      </c>
      <c r="D180" s="2" t="str">
        <f>IFERROR(__xludf.DUMMYFUNCTION("""COMPUTED_VALUE"""),"Honroutou")</f>
        <v>Honroutou</v>
      </c>
    </row>
    <row r="181">
      <c r="A181" s="1" t="s">
        <v>187</v>
      </c>
      <c r="B181" s="1">
        <v>1596.0</v>
      </c>
      <c r="C181" s="2" t="str">
        <f>IFERROR(__xludf.DUMMYFUNCTION("SPLIT(A181, "" + "", FALSE)"),"Shousangen")</f>
        <v>Shousangen</v>
      </c>
      <c r="D181" s="2" t="str">
        <f>IFERROR(__xludf.DUMMYFUNCTION("""COMPUTED_VALUE"""),"Akadora")</f>
        <v>Akadora</v>
      </c>
    </row>
    <row r="182">
      <c r="A182" s="1" t="s">
        <v>188</v>
      </c>
      <c r="B182" s="1">
        <v>1579.0</v>
      </c>
      <c r="C182" s="2" t="str">
        <f>IFERROR(__xludf.DUMMYFUNCTION("SPLIT(A182, "" + "", FALSE)"),"Shousangen")</f>
        <v>Shousangen</v>
      </c>
      <c r="D182" s="2" t="str">
        <f>IFERROR(__xludf.DUMMYFUNCTION("""COMPUTED_VALUE"""),"Dora")</f>
        <v>Dora</v>
      </c>
    </row>
    <row r="183">
      <c r="A183" s="1" t="s">
        <v>189</v>
      </c>
      <c r="B183" s="1">
        <v>1552.0</v>
      </c>
      <c r="C183" s="2" t="str">
        <f>IFERROR(__xludf.DUMMYFUNCTION("SPLIT(A183, "" + "", FALSE)"),"Iipeikou")</f>
        <v>Iipeikou</v>
      </c>
      <c r="D183" s="2" t="str">
        <f>IFERROR(__xludf.DUMMYFUNCTION("""COMPUTED_VALUE"""),"Itsu")</f>
        <v>Itsu</v>
      </c>
    </row>
    <row r="184">
      <c r="A184" s="1" t="s">
        <v>190</v>
      </c>
      <c r="B184" s="1">
        <v>1548.0</v>
      </c>
      <c r="C184" s="2" t="str">
        <f>IFERROR(__xludf.DUMMYFUNCTION("SPLIT(A184, "" + "", FALSE)"),"Houtei")</f>
        <v>Houtei</v>
      </c>
      <c r="D184" s="2" t="str">
        <f>IFERROR(__xludf.DUMMYFUNCTION("""COMPUTED_VALUE"""),"Honitsu")</f>
        <v>Honitsu</v>
      </c>
    </row>
    <row r="185">
      <c r="A185" s="1" t="s">
        <v>191</v>
      </c>
      <c r="B185" s="1">
        <v>1432.0</v>
      </c>
      <c r="C185" s="2" t="str">
        <f>IFERROR(__xludf.DUMMYFUNCTION("SPLIT(A185, "" + "", FALSE)"),"Ryanpeikou")</f>
        <v>Ryanpeikou</v>
      </c>
      <c r="D185" s="2" t="str">
        <f>IFERROR(__xludf.DUMMYFUNCTION("""COMPUTED_VALUE"""),"Tanyao")</f>
        <v>Tanyao</v>
      </c>
    </row>
    <row r="186">
      <c r="A186" s="1" t="s">
        <v>192</v>
      </c>
      <c r="B186" s="1">
        <v>1430.0</v>
      </c>
      <c r="C186" s="2" t="str">
        <f>IFERROR(__xludf.DUMMYFUNCTION("SPLIT(A186, "" + "", FALSE)"),"Riichi")</f>
        <v>Riichi</v>
      </c>
      <c r="D186" s="2" t="str">
        <f>IFERROR(__xludf.DUMMYFUNCTION("""COMPUTED_VALUE"""),"Ryanpeikou")</f>
        <v>Ryanpeikou</v>
      </c>
    </row>
    <row r="187">
      <c r="A187" s="1" t="s">
        <v>193</v>
      </c>
      <c r="B187" s="1">
        <v>1426.0</v>
      </c>
      <c r="C187" s="2" t="str">
        <f>IFERROR(__xludf.DUMMYFUNCTION("SPLIT(A187, "" + "", FALSE)"),"Tsumo")</f>
        <v>Tsumo</v>
      </c>
      <c r="D187" s="2" t="str">
        <f>IFERROR(__xludf.DUMMYFUNCTION("""COMPUTED_VALUE"""),"Ryanpeikou")</f>
        <v>Ryanpeikou</v>
      </c>
    </row>
    <row r="188">
      <c r="A188" s="1" t="s">
        <v>194</v>
      </c>
      <c r="B188" s="1">
        <v>1404.0</v>
      </c>
      <c r="C188" s="2" t="str">
        <f>IFERROR(__xludf.DUMMYFUNCTION("SPLIT(A188, "" + "", FALSE)"),"Toitoi")</f>
        <v>Toitoi</v>
      </c>
      <c r="D188" s="2" t="str">
        <f>IFERROR(__xludf.DUMMYFUNCTION("""COMPUTED_VALUE"""),"Doukou")</f>
        <v>Doukou</v>
      </c>
    </row>
    <row r="189">
      <c r="A189" s="1" t="s">
        <v>195</v>
      </c>
      <c r="B189" s="1">
        <v>1374.0</v>
      </c>
      <c r="C189" s="2" t="str">
        <f>IFERROR(__xludf.DUMMYFUNCTION("SPLIT(A189, "" + "", FALSE)"),"Junchan")</f>
        <v>Junchan</v>
      </c>
      <c r="D189" s="2" t="str">
        <f>IFERROR(__xludf.DUMMYFUNCTION("""COMPUTED_VALUE"""),"Uradora")</f>
        <v>Uradora</v>
      </c>
    </row>
    <row r="190">
      <c r="A190" s="1" t="s">
        <v>196</v>
      </c>
      <c r="B190" s="1">
        <v>1354.0</v>
      </c>
      <c r="C190" s="2" t="str">
        <f>IFERROR(__xludf.DUMMYFUNCTION("SPLIT(A190, "" + "", FALSE)"),"Double Riichi")</f>
        <v>Double Riichi</v>
      </c>
      <c r="D190" s="2" t="str">
        <f>IFERROR(__xludf.DUMMYFUNCTION("""COMPUTED_VALUE"""),"Yakuhai Dragon")</f>
        <v>Yakuhai Dragon</v>
      </c>
    </row>
    <row r="191">
      <c r="A191" s="1" t="s">
        <v>197</v>
      </c>
      <c r="B191" s="1">
        <v>1348.0</v>
      </c>
      <c r="C191" s="2" t="str">
        <f>IFERROR(__xludf.DUMMYFUNCTION("SPLIT(A191, "" + "", FALSE)"),"Haitei")</f>
        <v>Haitei</v>
      </c>
      <c r="D191" s="2" t="str">
        <f>IFERROR(__xludf.DUMMYFUNCTION("""COMPUTED_VALUE"""),"Chiitoitsu")</f>
        <v>Chiitoitsu</v>
      </c>
    </row>
    <row r="192">
      <c r="A192" s="1" t="s">
        <v>198</v>
      </c>
      <c r="B192" s="1">
        <v>1308.0</v>
      </c>
      <c r="C192" s="2" t="str">
        <f>IFERROR(__xludf.DUMMYFUNCTION("SPLIT(A192, "" + "", FALSE)"),"Rinshan")</f>
        <v>Rinshan</v>
      </c>
      <c r="D192" s="2" t="str">
        <f>IFERROR(__xludf.DUMMYFUNCTION("""COMPUTED_VALUE"""),"Toitoi")</f>
        <v>Toitoi</v>
      </c>
    </row>
    <row r="193">
      <c r="A193" s="1" t="s">
        <v>199</v>
      </c>
      <c r="B193" s="1">
        <v>1253.0</v>
      </c>
      <c r="C193" s="2" t="str">
        <f>IFERROR(__xludf.DUMMYFUNCTION("SPLIT(A193, "" + "", FALSE)"),"Double Riichi")</f>
        <v>Double Riichi</v>
      </c>
      <c r="D193" s="2" t="str">
        <f>IFERROR(__xludf.DUMMYFUNCTION("""COMPUTED_VALUE"""),"Tanyao")</f>
        <v>Tanyao</v>
      </c>
    </row>
    <row r="194">
      <c r="A194" s="1" t="s">
        <v>200</v>
      </c>
      <c r="B194" s="1">
        <v>1069.0</v>
      </c>
      <c r="C194" s="2" t="str">
        <f>IFERROR(__xludf.DUMMYFUNCTION("SPLIT(A194, "" + "", FALSE)"),"Pinfu")</f>
        <v>Pinfu</v>
      </c>
      <c r="D194" s="2" t="str">
        <f>IFERROR(__xludf.DUMMYFUNCTION("""COMPUTED_VALUE"""),"Honitsu")</f>
        <v>Honitsu</v>
      </c>
    </row>
    <row r="195">
      <c r="A195" s="1" t="s">
        <v>201</v>
      </c>
      <c r="B195" s="1">
        <v>1067.0</v>
      </c>
      <c r="C195" s="2" t="str">
        <f>IFERROR(__xludf.DUMMYFUNCTION("SPLIT(A195, "" + "", FALSE)"),"Doukou")</f>
        <v>Doukou</v>
      </c>
      <c r="D195" s="2" t="str">
        <f>IFERROR(__xludf.DUMMYFUNCTION("""COMPUTED_VALUE"""),"Tanyao")</f>
        <v>Tanyao</v>
      </c>
    </row>
    <row r="196">
      <c r="A196" s="1" t="s">
        <v>202</v>
      </c>
      <c r="B196" s="1">
        <v>1045.0</v>
      </c>
      <c r="C196" s="2" t="str">
        <f>IFERROR(__xludf.DUMMYFUNCTION("SPLIT(A196, "" + "", FALSE)"),"Chankan")</f>
        <v>Chankan</v>
      </c>
      <c r="D196" s="2" t="str">
        <f>IFERROR(__xludf.DUMMYFUNCTION("""COMPUTED_VALUE"""),"Akadora")</f>
        <v>Akadora</v>
      </c>
    </row>
    <row r="197">
      <c r="A197" s="1" t="s">
        <v>203</v>
      </c>
      <c r="B197" s="1">
        <v>1031.0</v>
      </c>
      <c r="C197" s="2" t="str">
        <f>IFERROR(__xludf.DUMMYFUNCTION("SPLIT(A197, "" + "", FALSE)"),"Toitoi")</f>
        <v>Toitoi</v>
      </c>
      <c r="D197" s="2" t="str">
        <f>IFERROR(__xludf.DUMMYFUNCTION("""COMPUTED_VALUE"""),"Chinitsu")</f>
        <v>Chinitsu</v>
      </c>
    </row>
    <row r="198">
      <c r="A198" s="1" t="s">
        <v>204</v>
      </c>
      <c r="B198" s="1">
        <v>985.0</v>
      </c>
      <c r="C198" s="2" t="str">
        <f>IFERROR(__xludf.DUMMYFUNCTION("SPLIT(A198, "" + "", FALSE)"),"Chankan")</f>
        <v>Chankan</v>
      </c>
      <c r="D198" s="2" t="str">
        <f>IFERROR(__xludf.DUMMYFUNCTION("""COMPUTED_VALUE"""),"Dora")</f>
        <v>Dora</v>
      </c>
    </row>
    <row r="199">
      <c r="A199" s="1" t="s">
        <v>205</v>
      </c>
      <c r="B199" s="1">
        <v>915.0</v>
      </c>
      <c r="C199" s="2" t="str">
        <f>IFERROR(__xludf.DUMMYFUNCTION("SPLIT(A199, "" + "", FALSE)"),"Rinshan")</f>
        <v>Rinshan</v>
      </c>
      <c r="D199" s="2" t="str">
        <f>IFERROR(__xludf.DUMMYFUNCTION("""COMPUTED_VALUE"""),"Sanankou")</f>
        <v>Sanankou</v>
      </c>
    </row>
    <row r="200">
      <c r="A200" s="1" t="s">
        <v>206</v>
      </c>
      <c r="B200" s="1">
        <v>893.0</v>
      </c>
      <c r="C200" s="2" t="str">
        <f>IFERROR(__xludf.DUMMYFUNCTION("SPLIT(A200, "" + "", FALSE)"),"Double Riichi")</f>
        <v>Double Riichi</v>
      </c>
      <c r="D200" s="2" t="str">
        <f>IFERROR(__xludf.DUMMYFUNCTION("""COMPUTED_VALUE"""),"Yakuhai Wind")</f>
        <v>Yakuhai Wind</v>
      </c>
    </row>
    <row r="201">
      <c r="A201" s="1" t="s">
        <v>207</v>
      </c>
      <c r="B201" s="1">
        <v>873.0</v>
      </c>
      <c r="C201" s="2" t="str">
        <f>IFERROR(__xludf.DUMMYFUNCTION("SPLIT(A201, "" + "", FALSE)"),"Ippatsu")</f>
        <v>Ippatsu</v>
      </c>
      <c r="D201" s="2" t="str">
        <f>IFERROR(__xludf.DUMMYFUNCTION("""COMPUTED_VALUE"""),"Junchan")</f>
        <v>Junchan</v>
      </c>
    </row>
    <row r="202">
      <c r="A202" s="1" t="s">
        <v>208</v>
      </c>
      <c r="B202" s="1">
        <v>857.0</v>
      </c>
      <c r="C202" s="2" t="str">
        <f>IFERROR(__xludf.DUMMYFUNCTION("SPLIT(A202, "" + "", FALSE)"),"Honroutou")</f>
        <v>Honroutou</v>
      </c>
      <c r="D202" s="2" t="str">
        <f>IFERROR(__xludf.DUMMYFUNCTION("""COMPUTED_VALUE"""),"Honitsu")</f>
        <v>Honitsu</v>
      </c>
    </row>
    <row r="203">
      <c r="A203" s="1" t="s">
        <v>209</v>
      </c>
      <c r="B203" s="1">
        <v>846.0</v>
      </c>
      <c r="C203" s="2" t="str">
        <f>IFERROR(__xludf.DUMMYFUNCTION("SPLIT(A203, "" + "", FALSE)"),"Houtei")</f>
        <v>Houtei</v>
      </c>
      <c r="D203" s="2" t="str">
        <f>IFERROR(__xludf.DUMMYFUNCTION("""COMPUTED_VALUE"""),"Toitoi")</f>
        <v>Toitoi</v>
      </c>
    </row>
    <row r="204">
      <c r="A204" s="1" t="s">
        <v>210</v>
      </c>
      <c r="B204" s="1">
        <v>845.0</v>
      </c>
      <c r="C204" s="2" t="str">
        <f>IFERROR(__xludf.DUMMYFUNCTION("SPLIT(A204, "" + "", FALSE)"),"Pinfu")</f>
        <v>Pinfu</v>
      </c>
      <c r="D204" s="2" t="str">
        <f>IFERROR(__xludf.DUMMYFUNCTION("""COMPUTED_VALUE"""),"Chanta")</f>
        <v>Chanta</v>
      </c>
    </row>
    <row r="205">
      <c r="A205" s="1" t="s">
        <v>211</v>
      </c>
      <c r="B205" s="1">
        <v>843.0</v>
      </c>
      <c r="C205" s="2" t="str">
        <f>IFERROR(__xludf.DUMMYFUNCTION("SPLIT(A205, "" + "", FALSE)"),"Haitei")</f>
        <v>Haitei</v>
      </c>
      <c r="D205" s="2" t="str">
        <f>IFERROR(__xludf.DUMMYFUNCTION("""COMPUTED_VALUE"""),"Toitoi")</f>
        <v>Toitoi</v>
      </c>
    </row>
    <row r="206">
      <c r="A206" s="1" t="s">
        <v>212</v>
      </c>
      <c r="B206" s="1">
        <v>817.0</v>
      </c>
      <c r="C206" s="2" t="str">
        <f>IFERROR(__xludf.DUMMYFUNCTION("SPLIT(A206, "" + "", FALSE)"),"Shousangen")</f>
        <v>Shousangen</v>
      </c>
      <c r="D206" s="2" t="str">
        <f>IFERROR(__xludf.DUMMYFUNCTION("""COMPUTED_VALUE"""),"Chanta")</f>
        <v>Chanta</v>
      </c>
    </row>
    <row r="207">
      <c r="A207" s="1" t="s">
        <v>213</v>
      </c>
      <c r="B207" s="1">
        <v>790.0</v>
      </c>
      <c r="C207" s="2" t="str">
        <f>IFERROR(__xludf.DUMMYFUNCTION("SPLIT(A207, "" + "", FALSE)"),"Doukou")</f>
        <v>Doukou</v>
      </c>
      <c r="D207" s="2" t="str">
        <f>IFERROR(__xludf.DUMMYFUNCTION("""COMPUTED_VALUE"""),"Dora")</f>
        <v>Dora</v>
      </c>
    </row>
    <row r="208">
      <c r="A208" s="1" t="s">
        <v>214</v>
      </c>
      <c r="B208" s="1">
        <v>785.0</v>
      </c>
      <c r="C208" s="2" t="str">
        <f>IFERROR(__xludf.DUMMYFUNCTION("SPLIT(A208, "" + "", FALSE)"),"Double Riichi")</f>
        <v>Double Riichi</v>
      </c>
      <c r="D208" s="2" t="str">
        <f>IFERROR(__xludf.DUMMYFUNCTION("""COMPUTED_VALUE"""),"Iipeikou")</f>
        <v>Iipeikou</v>
      </c>
    </row>
    <row r="209">
      <c r="A209" s="1" t="s">
        <v>215</v>
      </c>
      <c r="B209" s="1">
        <v>764.0</v>
      </c>
      <c r="C209" s="2" t="str">
        <f>IFERROR(__xludf.DUMMYFUNCTION("SPLIT(A209, "" + "", FALSE)"),"Riichi")</f>
        <v>Riichi</v>
      </c>
      <c r="D209" s="2" t="str">
        <f>IFERROR(__xludf.DUMMYFUNCTION("""COMPUTED_VALUE"""),"Chinitsu")</f>
        <v>Chinitsu</v>
      </c>
    </row>
    <row r="210">
      <c r="A210" s="1" t="s">
        <v>216</v>
      </c>
      <c r="B210" s="1">
        <v>763.0</v>
      </c>
      <c r="C210" s="2" t="str">
        <f>IFERROR(__xludf.DUMMYFUNCTION("SPLIT(A210, "" + "", FALSE)"),"Ryanpeikou")</f>
        <v>Ryanpeikou</v>
      </c>
      <c r="D210" s="2" t="str">
        <f>IFERROR(__xludf.DUMMYFUNCTION("""COMPUTED_VALUE"""),"Dora")</f>
        <v>Dora</v>
      </c>
    </row>
    <row r="211">
      <c r="A211" s="1" t="s">
        <v>217</v>
      </c>
      <c r="B211" s="1">
        <v>758.0</v>
      </c>
      <c r="C211" s="2" t="str">
        <f>IFERROR(__xludf.DUMMYFUNCTION("SPLIT(A211, "" + "", FALSE)"),"Doukou")</f>
        <v>Doukou</v>
      </c>
      <c r="D211" s="2" t="str">
        <f>IFERROR(__xludf.DUMMYFUNCTION("""COMPUTED_VALUE"""),"Akadora")</f>
        <v>Akadora</v>
      </c>
    </row>
    <row r="212">
      <c r="A212" s="1" t="s">
        <v>218</v>
      </c>
      <c r="B212" s="1">
        <v>744.0</v>
      </c>
      <c r="C212" s="2" t="str">
        <f>IFERROR(__xludf.DUMMYFUNCTION("SPLIT(A212, "" + "", FALSE)"),"Haitei")</f>
        <v>Haitei</v>
      </c>
      <c r="D212" s="2" t="str">
        <f>IFERROR(__xludf.DUMMYFUNCTION("""COMPUTED_VALUE"""),"Sanankou")</f>
        <v>Sanankou</v>
      </c>
    </row>
    <row r="213">
      <c r="A213" s="1" t="s">
        <v>219</v>
      </c>
      <c r="B213" s="1">
        <v>706.0</v>
      </c>
      <c r="C213" s="2" t="str">
        <f>IFERROR(__xludf.DUMMYFUNCTION("SPLIT(A213, "" + "", FALSE)"),"Chankan")</f>
        <v>Chankan</v>
      </c>
      <c r="D213" s="2" t="str">
        <f>IFERROR(__xludf.DUMMYFUNCTION("""COMPUTED_VALUE"""),"Tanyao")</f>
        <v>Tanyao</v>
      </c>
    </row>
    <row r="214">
      <c r="A214" s="1" t="s">
        <v>220</v>
      </c>
      <c r="B214" s="1">
        <v>698.0</v>
      </c>
      <c r="C214" s="2" t="str">
        <f>IFERROR(__xludf.DUMMYFUNCTION("SPLIT(A214, "" + "", FALSE)"),"Shousangen")</f>
        <v>Shousangen</v>
      </c>
      <c r="D214" s="2" t="str">
        <f>IFERROR(__xludf.DUMMYFUNCTION("""COMPUTED_VALUE"""),"Toitoi")</f>
        <v>Toitoi</v>
      </c>
    </row>
    <row r="215">
      <c r="A215" s="1" t="s">
        <v>221</v>
      </c>
      <c r="B215" s="1">
        <v>619.0</v>
      </c>
      <c r="C215" s="2" t="str">
        <f>IFERROR(__xludf.DUMMYFUNCTION("SPLIT(A215, "" + "", FALSE)"),"Ippatsu")</f>
        <v>Ippatsu</v>
      </c>
      <c r="D215" s="2" t="str">
        <f>IFERROR(__xludf.DUMMYFUNCTION("""COMPUTED_VALUE"""),"Toitoi")</f>
        <v>Toitoi</v>
      </c>
    </row>
    <row r="216">
      <c r="A216" s="1" t="s">
        <v>222</v>
      </c>
      <c r="B216" s="1">
        <v>567.0</v>
      </c>
      <c r="C216" s="2" t="str">
        <f>IFERROR(__xludf.DUMMYFUNCTION("SPLIT(A216, "" + "", FALSE)"),"Haitei")</f>
        <v>Haitei</v>
      </c>
      <c r="D216" s="2" t="str">
        <f>IFERROR(__xludf.DUMMYFUNCTION("""COMPUTED_VALUE"""),"Itsu")</f>
        <v>Itsu</v>
      </c>
    </row>
    <row r="217">
      <c r="A217" s="1" t="s">
        <v>223</v>
      </c>
      <c r="B217" s="1">
        <v>554.0</v>
      </c>
      <c r="C217" s="2" t="str">
        <f>IFERROR(__xludf.DUMMYFUNCTION("SPLIT(A217, "" + "", FALSE)"),"Toitoi")</f>
        <v>Toitoi</v>
      </c>
      <c r="D217" s="2" t="str">
        <f>IFERROR(__xludf.DUMMYFUNCTION("""COMPUTED_VALUE"""),"Uradora")</f>
        <v>Uradora</v>
      </c>
    </row>
    <row r="218">
      <c r="A218" s="1" t="s">
        <v>224</v>
      </c>
      <c r="B218" s="1">
        <v>542.0</v>
      </c>
      <c r="C218" s="2" t="str">
        <f>IFERROR(__xludf.DUMMYFUNCTION("SPLIT(A218, "" + "", FALSE)"),"Chankan")</f>
        <v>Chankan</v>
      </c>
      <c r="D218" s="2" t="str">
        <f>IFERROR(__xludf.DUMMYFUNCTION("""COMPUTED_VALUE"""),"Pinfu")</f>
        <v>Pinfu</v>
      </c>
    </row>
    <row r="219">
      <c r="A219" s="1" t="s">
        <v>225</v>
      </c>
      <c r="B219" s="1">
        <v>510.0</v>
      </c>
      <c r="C219" s="2" t="str">
        <f>IFERROR(__xludf.DUMMYFUNCTION("SPLIT(A219, "" + "", FALSE)"),"Houtei")</f>
        <v>Houtei</v>
      </c>
      <c r="D219" s="2" t="str">
        <f>IFERROR(__xludf.DUMMYFUNCTION("""COMPUTED_VALUE"""),"Itsu")</f>
        <v>Itsu</v>
      </c>
    </row>
    <row r="220">
      <c r="A220" s="1" t="s">
        <v>226</v>
      </c>
      <c r="B220" s="1">
        <v>452.0</v>
      </c>
      <c r="C220" s="2" t="str">
        <f>IFERROR(__xludf.DUMMYFUNCTION("SPLIT(A220, "" + "", FALSE)"),"Ippatsu")</f>
        <v>Ippatsu</v>
      </c>
      <c r="D220" s="2" t="str">
        <f>IFERROR(__xludf.DUMMYFUNCTION("""COMPUTED_VALUE"""),"Haitei")</f>
        <v>Haitei</v>
      </c>
    </row>
    <row r="221">
      <c r="A221" s="1" t="s">
        <v>227</v>
      </c>
      <c r="B221" s="1">
        <v>434.0</v>
      </c>
      <c r="C221" s="2" t="str">
        <f>IFERROR(__xludf.DUMMYFUNCTION("SPLIT(A221, "" + "", FALSE)"),"Shousangen")</f>
        <v>Shousangen</v>
      </c>
      <c r="D221" s="2" t="str">
        <f>IFERROR(__xludf.DUMMYFUNCTION("""COMPUTED_VALUE"""),"Yakuhai Wind")</f>
        <v>Yakuhai Wind</v>
      </c>
    </row>
    <row r="222">
      <c r="A222" s="1" t="s">
        <v>228</v>
      </c>
      <c r="B222" s="1">
        <v>410.0</v>
      </c>
      <c r="C222" s="2" t="str">
        <f>IFERROR(__xludf.DUMMYFUNCTION("SPLIT(A222, "" + "", FALSE)"),"Honroutou")</f>
        <v>Honroutou</v>
      </c>
      <c r="D222" s="2" t="str">
        <f>IFERROR(__xludf.DUMMYFUNCTION("""COMPUTED_VALUE"""),"Dora")</f>
        <v>Dora</v>
      </c>
    </row>
    <row r="223">
      <c r="A223" s="1" t="s">
        <v>229</v>
      </c>
      <c r="B223" s="1">
        <v>408.0</v>
      </c>
      <c r="C223" s="2" t="str">
        <f>IFERROR(__xludf.DUMMYFUNCTION("SPLIT(A223, "" + "", FALSE)"),"Haitei")</f>
        <v>Haitei</v>
      </c>
      <c r="D223" s="2" t="str">
        <f>IFERROR(__xludf.DUMMYFUNCTION("""COMPUTED_VALUE"""),"Chinitsu")</f>
        <v>Chinitsu</v>
      </c>
    </row>
    <row r="224">
      <c r="A224" s="1" t="s">
        <v>230</v>
      </c>
      <c r="B224" s="1">
        <v>395.0</v>
      </c>
      <c r="C224" s="2" t="str">
        <f>IFERROR(__xludf.DUMMYFUNCTION("SPLIT(A224, "" + "", FALSE)"),"Chankan")</f>
        <v>Chankan</v>
      </c>
      <c r="D224" s="2" t="str">
        <f>IFERROR(__xludf.DUMMYFUNCTION("""COMPUTED_VALUE"""),"Yakuhai Dragon")</f>
        <v>Yakuhai Dragon</v>
      </c>
    </row>
    <row r="225">
      <c r="A225" s="1" t="s">
        <v>231</v>
      </c>
      <c r="B225" s="1">
        <v>393.0</v>
      </c>
      <c r="C225" s="2" t="str">
        <f>IFERROR(__xludf.DUMMYFUNCTION("SPLIT(A225, "" + "", FALSE)"),"Double Riichi")</f>
        <v>Double Riichi</v>
      </c>
      <c r="D225" s="2" t="str">
        <f>IFERROR(__xludf.DUMMYFUNCTION("""COMPUTED_VALUE"""),"Doujun")</f>
        <v>Doujun</v>
      </c>
    </row>
    <row r="226">
      <c r="A226" s="1" t="s">
        <v>232</v>
      </c>
      <c r="B226" s="1">
        <v>384.0</v>
      </c>
      <c r="C226" s="2" t="str">
        <f>IFERROR(__xludf.DUMMYFUNCTION("SPLIT(A226, "" + "", FALSE)"),"Sanankou")</f>
        <v>Sanankou</v>
      </c>
      <c r="D226" s="2" t="str">
        <f>IFERROR(__xludf.DUMMYFUNCTION("""COMPUTED_VALUE"""),"Chinitsu")</f>
        <v>Chinitsu</v>
      </c>
    </row>
    <row r="227">
      <c r="A227" s="1" t="s">
        <v>233</v>
      </c>
      <c r="B227" s="1">
        <v>340.0</v>
      </c>
      <c r="C227" s="2" t="str">
        <f>IFERROR(__xludf.DUMMYFUNCTION("SPLIT(A227, "" + "", FALSE)"),"Rinshan")</f>
        <v>Rinshan</v>
      </c>
      <c r="D227" s="2" t="str">
        <f>IFERROR(__xludf.DUMMYFUNCTION("""COMPUTED_VALUE"""),"Iipeikou")</f>
        <v>Iipeikou</v>
      </c>
    </row>
    <row r="228">
      <c r="A228" s="1" t="s">
        <v>234</v>
      </c>
      <c r="B228" s="1">
        <v>324.0</v>
      </c>
      <c r="C228" s="2" t="str">
        <f>IFERROR(__xludf.DUMMYFUNCTION("SPLIT(A228, "" + "", FALSE)"),"Sanankou")</f>
        <v>Sanankou</v>
      </c>
      <c r="D228" s="2" t="str">
        <f>IFERROR(__xludf.DUMMYFUNCTION("""COMPUTED_VALUE"""),"Doukou")</f>
        <v>Doukou</v>
      </c>
    </row>
    <row r="229">
      <c r="A229" s="1" t="s">
        <v>235</v>
      </c>
      <c r="B229" s="1">
        <v>311.0</v>
      </c>
      <c r="C229" s="2" t="str">
        <f>IFERROR(__xludf.DUMMYFUNCTION("SPLIT(A229, "" + "", FALSE)"),"Houtei")</f>
        <v>Houtei</v>
      </c>
      <c r="D229" s="2" t="str">
        <f>IFERROR(__xludf.DUMMYFUNCTION("""COMPUTED_VALUE"""),"Chinitsu")</f>
        <v>Chinitsu</v>
      </c>
    </row>
    <row r="230">
      <c r="A230" s="1" t="s">
        <v>236</v>
      </c>
      <c r="B230" s="1">
        <v>267.0</v>
      </c>
      <c r="C230" s="2" t="str">
        <f>IFERROR(__xludf.DUMMYFUNCTION("SPLIT(A230, "" + "", FALSE)"),"Riichi")</f>
        <v>Riichi</v>
      </c>
      <c r="D230" s="2" t="str">
        <f>IFERROR(__xludf.DUMMYFUNCTION("""COMPUTED_VALUE"""),"Chankan")</f>
        <v>Chankan</v>
      </c>
    </row>
    <row r="231">
      <c r="A231" s="1" t="s">
        <v>237</v>
      </c>
      <c r="B231" s="1">
        <v>266.0</v>
      </c>
      <c r="C231" s="2" t="str">
        <f>IFERROR(__xludf.DUMMYFUNCTION("SPLIT(A231, "" + "", FALSE)"),"Ryanpeikou")</f>
        <v>Ryanpeikou</v>
      </c>
      <c r="D231" s="2" t="str">
        <f>IFERROR(__xludf.DUMMYFUNCTION("""COMPUTED_VALUE"""),"Uradora")</f>
        <v>Uradora</v>
      </c>
    </row>
    <row r="232">
      <c r="A232" s="1" t="s">
        <v>238</v>
      </c>
      <c r="B232" s="1">
        <v>264.0</v>
      </c>
      <c r="C232" s="2" t="str">
        <f>IFERROR(__xludf.DUMMYFUNCTION("SPLIT(A232, "" + "", FALSE)"),"Ippatsu")</f>
        <v>Ippatsu</v>
      </c>
      <c r="D232" s="2" t="str">
        <f>IFERROR(__xludf.DUMMYFUNCTION("""COMPUTED_VALUE"""),"Ryanpeikou")</f>
        <v>Ryanpeikou</v>
      </c>
    </row>
    <row r="233">
      <c r="A233" s="1" t="s">
        <v>239</v>
      </c>
      <c r="B233" s="1">
        <v>260.0</v>
      </c>
      <c r="C233" s="2" t="str">
        <f>IFERROR(__xludf.DUMMYFUNCTION("SPLIT(A233, "" + "", FALSE)"),"Chankan")</f>
        <v>Chankan</v>
      </c>
      <c r="D233" s="2" t="str">
        <f>IFERROR(__xludf.DUMMYFUNCTION("""COMPUTED_VALUE"""),"Yakuhai Wind")</f>
        <v>Yakuhai Wind</v>
      </c>
    </row>
    <row r="234">
      <c r="A234" s="1" t="s">
        <v>240</v>
      </c>
      <c r="B234" s="1">
        <v>233.0</v>
      </c>
      <c r="C234" s="2" t="str">
        <f>IFERROR(__xludf.DUMMYFUNCTION("SPLIT(A234, "" + "", FALSE)"),"Houtei")</f>
        <v>Houtei</v>
      </c>
      <c r="D234" s="2" t="str">
        <f>IFERROR(__xludf.DUMMYFUNCTION("""COMPUTED_VALUE"""),"Chanta")</f>
        <v>Chanta</v>
      </c>
    </row>
    <row r="235">
      <c r="A235" s="1" t="s">
        <v>241</v>
      </c>
      <c r="B235" s="1">
        <v>225.0</v>
      </c>
      <c r="C235" s="2" t="str">
        <f>IFERROR(__xludf.DUMMYFUNCTION("SPLIT(A235, "" + "", FALSE)"),"Ippatsu")</f>
        <v>Ippatsu</v>
      </c>
      <c r="D235" s="2" t="str">
        <f>IFERROR(__xludf.DUMMYFUNCTION("""COMPUTED_VALUE"""),"Chinitsu")</f>
        <v>Chinitsu</v>
      </c>
    </row>
    <row r="236">
      <c r="A236" s="1" t="s">
        <v>242</v>
      </c>
      <c r="B236" s="1">
        <v>218.0</v>
      </c>
      <c r="C236" s="2" t="str">
        <f>IFERROR(__xludf.DUMMYFUNCTION("SPLIT(A236, "" + "", FALSE)"),"Haitei")</f>
        <v>Haitei</v>
      </c>
      <c r="D236" s="2" t="str">
        <f>IFERROR(__xludf.DUMMYFUNCTION("""COMPUTED_VALUE"""),"Chanta")</f>
        <v>Chanta</v>
      </c>
    </row>
    <row r="237">
      <c r="A237" s="1" t="s">
        <v>243</v>
      </c>
      <c r="B237" s="1">
        <v>217.0</v>
      </c>
      <c r="C237" s="2" t="str">
        <f>IFERROR(__xludf.DUMMYFUNCTION("SPLIT(A237, "" + "", FALSE)"),"Rinshan")</f>
        <v>Rinshan</v>
      </c>
      <c r="D237" s="2" t="str">
        <f>IFERROR(__xludf.DUMMYFUNCTION("""COMPUTED_VALUE"""),"Doujun")</f>
        <v>Doujun</v>
      </c>
    </row>
    <row r="238">
      <c r="A238" s="1" t="s">
        <v>244</v>
      </c>
      <c r="B238" s="1">
        <v>215.0</v>
      </c>
      <c r="C238" s="2" t="str">
        <f>IFERROR(__xludf.DUMMYFUNCTION("SPLIT(A238, "" + "", FALSE)"),"Double Riichi")</f>
        <v>Double Riichi</v>
      </c>
      <c r="D238" s="2" t="str">
        <f>IFERROR(__xludf.DUMMYFUNCTION("""COMPUTED_VALUE"""),"Itsu")</f>
        <v>Itsu</v>
      </c>
    </row>
    <row r="239">
      <c r="A239" s="1" t="s">
        <v>245</v>
      </c>
      <c r="B239" s="1">
        <v>213.0</v>
      </c>
      <c r="C239" s="2" t="str">
        <f>IFERROR(__xludf.DUMMYFUNCTION("SPLIT(A239, "" + "", FALSE)"),"Houtei")</f>
        <v>Houtei</v>
      </c>
      <c r="D239" s="2" t="str">
        <f>IFERROR(__xludf.DUMMYFUNCTION("""COMPUTED_VALUE"""),"Sanankou")</f>
        <v>Sanankou</v>
      </c>
    </row>
    <row r="240">
      <c r="A240" s="1" t="s">
        <v>246</v>
      </c>
      <c r="B240" s="1">
        <v>206.0</v>
      </c>
      <c r="C240" s="2" t="str">
        <f>IFERROR(__xludf.DUMMYFUNCTION("SPLIT(A240, "" + "", FALSE)"),"Rinshan")</f>
        <v>Rinshan</v>
      </c>
      <c r="D240" s="2" t="str">
        <f>IFERROR(__xludf.DUMMYFUNCTION("""COMPUTED_VALUE"""),"Chanta")</f>
        <v>Chanta</v>
      </c>
    </row>
    <row r="241">
      <c r="A241" s="1" t="s">
        <v>247</v>
      </c>
      <c r="B241" s="1">
        <v>195.0</v>
      </c>
      <c r="C241" s="2" t="str">
        <f>IFERROR(__xludf.DUMMYFUNCTION("SPLIT(A241, "" + "", FALSE)"),"Doukou")</f>
        <v>Doukou</v>
      </c>
      <c r="D241" s="2" t="str">
        <f>IFERROR(__xludf.DUMMYFUNCTION("""COMPUTED_VALUE"""),"Yakuhai Dragon")</f>
        <v>Yakuhai Dragon</v>
      </c>
    </row>
    <row r="242">
      <c r="A242" s="1" t="s">
        <v>248</v>
      </c>
      <c r="B242" s="1">
        <v>183.0</v>
      </c>
      <c r="C242" s="2" t="str">
        <f>IFERROR(__xludf.DUMMYFUNCTION("SPLIT(A242, "" + "", FALSE)"),"Ryanpeikou")</f>
        <v>Ryanpeikou</v>
      </c>
      <c r="D242" s="2" t="str">
        <f>IFERROR(__xludf.DUMMYFUNCTION("""COMPUTED_VALUE"""),"Honitsu")</f>
        <v>Honitsu</v>
      </c>
    </row>
    <row r="243">
      <c r="A243" s="1" t="s">
        <v>249</v>
      </c>
      <c r="B243" s="1">
        <v>157.0</v>
      </c>
      <c r="C243" s="2" t="str">
        <f>IFERROR(__xludf.DUMMYFUNCTION("SPLIT(A243, "" + "", FALSE)"),"Chinitsu")</f>
        <v>Chinitsu</v>
      </c>
      <c r="D243" s="2" t="str">
        <f>IFERROR(__xludf.DUMMYFUNCTION("""COMPUTED_VALUE"""),"Uradora")</f>
        <v>Uradora</v>
      </c>
    </row>
    <row r="244">
      <c r="A244" s="1" t="s">
        <v>250</v>
      </c>
      <c r="B244" s="1">
        <v>152.0</v>
      </c>
      <c r="C244" s="2" t="str">
        <f>IFERROR(__xludf.DUMMYFUNCTION("SPLIT(A244, "" + "", FALSE)"),"Rinshan")</f>
        <v>Rinshan</v>
      </c>
      <c r="D244" s="2" t="str">
        <f>IFERROR(__xludf.DUMMYFUNCTION("""COMPUTED_VALUE"""),"Chinitsu")</f>
        <v>Chinitsu</v>
      </c>
    </row>
    <row r="245">
      <c r="A245" s="1" t="s">
        <v>251</v>
      </c>
      <c r="B245" s="1">
        <v>150.0</v>
      </c>
      <c r="C245" s="2" t="str">
        <f>IFERROR(__xludf.DUMMYFUNCTION("SPLIT(A245, "" + "", FALSE)"),"Chiitoitsu")</f>
        <v>Chiitoitsu</v>
      </c>
      <c r="D245" s="2" t="str">
        <f>IFERROR(__xludf.DUMMYFUNCTION("""COMPUTED_VALUE"""),"Honroutou")</f>
        <v>Honroutou</v>
      </c>
    </row>
    <row r="246">
      <c r="A246" s="1" t="s">
        <v>252</v>
      </c>
      <c r="B246" s="1">
        <v>133.0</v>
      </c>
      <c r="C246" s="2" t="str">
        <f>IFERROR(__xludf.DUMMYFUNCTION("SPLIT(A246, "" + "", FALSE)"),"Riichi")</f>
        <v>Riichi</v>
      </c>
      <c r="D246" s="2" t="str">
        <f>IFERROR(__xludf.DUMMYFUNCTION("""COMPUTED_VALUE"""),"Doukou")</f>
        <v>Doukou</v>
      </c>
    </row>
    <row r="247">
      <c r="A247" s="1" t="s">
        <v>253</v>
      </c>
      <c r="B247" s="1">
        <v>121.0</v>
      </c>
      <c r="C247" s="2" t="str">
        <f>IFERROR(__xludf.DUMMYFUNCTION("SPLIT(A247, "" + "", FALSE)"),"Ryanpeikou")</f>
        <v>Ryanpeikou</v>
      </c>
      <c r="D247" s="2" t="str">
        <f>IFERROR(__xludf.DUMMYFUNCTION("""COMPUTED_VALUE"""),"Chinitsu")</f>
        <v>Chinitsu</v>
      </c>
    </row>
    <row r="248">
      <c r="A248" s="1" t="s">
        <v>254</v>
      </c>
      <c r="B248" s="1">
        <v>119.0</v>
      </c>
      <c r="C248" s="2" t="str">
        <f>IFERROR(__xludf.DUMMYFUNCTION("SPLIT(A248, "" + "", FALSE)"),"Doukou")</f>
        <v>Doukou</v>
      </c>
      <c r="D248" s="2" t="str">
        <f>IFERROR(__xludf.DUMMYFUNCTION("""COMPUTED_VALUE"""),"Yakuhai Wind")</f>
        <v>Yakuhai Wind</v>
      </c>
    </row>
    <row r="249">
      <c r="A249" s="1" t="s">
        <v>255</v>
      </c>
      <c r="B249" s="1">
        <v>114.0</v>
      </c>
      <c r="C249" s="2" t="str">
        <f>IFERROR(__xludf.DUMMYFUNCTION("SPLIT(A249, "" + "", FALSE)"),"Sanankou")</f>
        <v>Sanankou</v>
      </c>
      <c r="D249" s="2" t="str">
        <f>IFERROR(__xludf.DUMMYFUNCTION("""COMPUTED_VALUE"""),"Chanta")</f>
        <v>Chanta</v>
      </c>
    </row>
    <row r="250">
      <c r="A250" s="1" t="s">
        <v>256</v>
      </c>
      <c r="B250" s="1">
        <v>111.0</v>
      </c>
      <c r="C250" s="2" t="str">
        <f>IFERROR(__xludf.DUMMYFUNCTION("SPLIT(A250, "" + "", FALSE)"),"Chankan")</f>
        <v>Chankan</v>
      </c>
      <c r="D250" s="2" t="str">
        <f>IFERROR(__xludf.DUMMYFUNCTION("""COMPUTED_VALUE"""),"Doujun")</f>
        <v>Doujun</v>
      </c>
    </row>
    <row r="251">
      <c r="A251" s="1" t="s">
        <v>257</v>
      </c>
      <c r="B251" s="1">
        <v>102.0</v>
      </c>
      <c r="C251" s="2" t="str">
        <f>IFERROR(__xludf.DUMMYFUNCTION("SPLIT(A251, "" + "", FALSE)"),"Shousangen")</f>
        <v>Shousangen</v>
      </c>
      <c r="D251" s="2" t="str">
        <f>IFERROR(__xludf.DUMMYFUNCTION("""COMPUTED_VALUE"""),"Honroutou")</f>
        <v>Honroutou</v>
      </c>
    </row>
    <row r="252">
      <c r="A252" s="1" t="s">
        <v>258</v>
      </c>
      <c r="B252" s="1">
        <v>98.0</v>
      </c>
      <c r="C252" s="2" t="str">
        <f>IFERROR(__xludf.DUMMYFUNCTION("SPLIT(A252, "" + "", FALSE)"),"Doukou")</f>
        <v>Doukou</v>
      </c>
      <c r="D252" s="2" t="str">
        <f>IFERROR(__xludf.DUMMYFUNCTION("""COMPUTED_VALUE"""),"Honroutou")</f>
        <v>Honroutou</v>
      </c>
    </row>
    <row r="253">
      <c r="A253" s="1" t="s">
        <v>259</v>
      </c>
      <c r="B253" s="1">
        <v>93.0</v>
      </c>
      <c r="C253" s="2" t="str">
        <f>IFERROR(__xludf.DUMMYFUNCTION("SPLIT(A253, "" + "", FALSE)"),"Chankan")</f>
        <v>Chankan</v>
      </c>
      <c r="D253" s="2" t="str">
        <f>IFERROR(__xludf.DUMMYFUNCTION("""COMPUTED_VALUE"""),"Uradora")</f>
        <v>Uradora</v>
      </c>
    </row>
    <row r="254">
      <c r="A254" s="1" t="s">
        <v>260</v>
      </c>
      <c r="B254" s="1">
        <v>90.0</v>
      </c>
      <c r="C254" s="2" t="str">
        <f>IFERROR(__xludf.DUMMYFUNCTION("SPLIT(A254, "" + "", FALSE)"),"Houtei")</f>
        <v>Houtei</v>
      </c>
      <c r="D254" s="2" t="str">
        <f>IFERROR(__xludf.DUMMYFUNCTION("""COMPUTED_VALUE"""),"Junchan")</f>
        <v>Junchan</v>
      </c>
    </row>
    <row r="255">
      <c r="A255" s="1" t="s">
        <v>261</v>
      </c>
      <c r="B255" s="1">
        <v>84.0</v>
      </c>
      <c r="C255" s="2" t="str">
        <f>IFERROR(__xludf.DUMMYFUNCTION("SPLIT(A255, "" + "", FALSE)"),"Shousangen")</f>
        <v>Shousangen</v>
      </c>
      <c r="D255" s="2" t="str">
        <f>IFERROR(__xludf.DUMMYFUNCTION("""COMPUTED_VALUE"""),"Sanankou")</f>
        <v>Sanankou</v>
      </c>
    </row>
    <row r="256">
      <c r="A256" s="1" t="s">
        <v>262</v>
      </c>
      <c r="B256" s="1">
        <v>81.0</v>
      </c>
      <c r="C256" s="2" t="str">
        <f>IFERROR(__xludf.DUMMYFUNCTION("SPLIT(A256, "" + "", FALSE)"),"Sanankou")</f>
        <v>Sanankou</v>
      </c>
      <c r="D256" s="2" t="str">
        <f>IFERROR(__xludf.DUMMYFUNCTION("""COMPUTED_VALUE"""),"Honroutou")</f>
        <v>Honroutou</v>
      </c>
    </row>
    <row r="257">
      <c r="A257" s="1" t="s">
        <v>263</v>
      </c>
      <c r="B257" s="1">
        <v>80.0</v>
      </c>
      <c r="C257" s="2" t="str">
        <f>IFERROR(__xludf.DUMMYFUNCTION("SPLIT(A257, "" + "", FALSE)"),"Riichi")</f>
        <v>Riichi</v>
      </c>
      <c r="D257" s="2" t="str">
        <f>IFERROR(__xludf.DUMMYFUNCTION("""COMPUTED_VALUE"""),"Shousangen")</f>
        <v>Shousangen</v>
      </c>
    </row>
    <row r="258">
      <c r="A258" s="1" t="s">
        <v>264</v>
      </c>
      <c r="B258" s="1">
        <v>78.0</v>
      </c>
      <c r="C258" s="2" t="str">
        <f>IFERROR(__xludf.DUMMYFUNCTION("SPLIT(A258, "" + "", FALSE)"),"Chiitoitsu")</f>
        <v>Chiitoitsu</v>
      </c>
      <c r="D258" s="2" t="str">
        <f>IFERROR(__xludf.DUMMYFUNCTION("""COMPUTED_VALUE"""),"Chinitsu")</f>
        <v>Chinitsu</v>
      </c>
    </row>
    <row r="259">
      <c r="A259" s="1" t="s">
        <v>265</v>
      </c>
      <c r="B259" s="1">
        <v>71.0</v>
      </c>
      <c r="C259" s="2" t="str">
        <f>IFERROR(__xludf.DUMMYFUNCTION("SPLIT(A259, "" + "", FALSE)"),"Tsumo")</f>
        <v>Tsumo</v>
      </c>
      <c r="D259" s="2" t="str">
        <f>IFERROR(__xludf.DUMMYFUNCTION("""COMPUTED_VALUE"""),"Doukou")</f>
        <v>Doukou</v>
      </c>
    </row>
    <row r="260">
      <c r="A260" s="1" t="s">
        <v>266</v>
      </c>
      <c r="B260" s="1">
        <v>69.0</v>
      </c>
      <c r="C260" s="2" t="str">
        <f>IFERROR(__xludf.DUMMYFUNCTION("SPLIT(A260, "" + "", FALSE)"),"Rinshan")</f>
        <v>Rinshan</v>
      </c>
      <c r="D260" s="2" t="str">
        <f>IFERROR(__xludf.DUMMYFUNCTION("""COMPUTED_VALUE"""),"Itsu")</f>
        <v>Itsu</v>
      </c>
    </row>
    <row r="261">
      <c r="A261" s="1" t="s">
        <v>267</v>
      </c>
      <c r="B261" s="1">
        <v>67.0</v>
      </c>
      <c r="C261" s="2" t="str">
        <f>IFERROR(__xludf.DUMMYFUNCTION("SPLIT(A261, "" + "", FALSE)"),"Double Riichi")</f>
        <v>Double Riichi</v>
      </c>
      <c r="D261" s="2" t="str">
        <f>IFERROR(__xludf.DUMMYFUNCTION("""COMPUTED_VALUE"""),"Sanankou")</f>
        <v>Sanankou</v>
      </c>
    </row>
    <row r="262">
      <c r="A262" s="1" t="s">
        <v>268</v>
      </c>
      <c r="B262" s="1">
        <v>66.0</v>
      </c>
      <c r="C262" s="2" t="str">
        <f>IFERROR(__xludf.DUMMYFUNCTION("SPLIT(A262, "" + "", FALSE)"),"Double Riichi")</f>
        <v>Double Riichi</v>
      </c>
      <c r="D262" s="2" t="str">
        <f>IFERROR(__xludf.DUMMYFUNCTION("""COMPUTED_VALUE"""),"Honitsu")</f>
        <v>Honitsu</v>
      </c>
    </row>
    <row r="263">
      <c r="A263" s="1" t="s">
        <v>269</v>
      </c>
      <c r="B263" s="1">
        <v>65.0</v>
      </c>
      <c r="C263" s="2" t="str">
        <f>IFERROR(__xludf.DUMMYFUNCTION("SPLIT(A263, "" + "", FALSE)"),"Tsumo")</f>
        <v>Tsumo</v>
      </c>
      <c r="D263" s="2" t="str">
        <f>IFERROR(__xludf.DUMMYFUNCTION("""COMPUTED_VALUE"""),"Shousangen")</f>
        <v>Shousangen</v>
      </c>
    </row>
    <row r="264">
      <c r="A264" s="1" t="s">
        <v>270</v>
      </c>
      <c r="B264" s="1">
        <v>63.0</v>
      </c>
      <c r="C264" s="2" t="str">
        <f>IFERROR(__xludf.DUMMYFUNCTION("SPLIT(A264, "" + "", FALSE)"),"Haitei")</f>
        <v>Haitei</v>
      </c>
      <c r="D264" s="2" t="str">
        <f>IFERROR(__xludf.DUMMYFUNCTION("""COMPUTED_VALUE"""),"Junchan")</f>
        <v>Junchan</v>
      </c>
    </row>
    <row r="265">
      <c r="A265" s="1" t="s">
        <v>271</v>
      </c>
      <c r="B265" s="1">
        <v>62.0</v>
      </c>
      <c r="C265" s="2" t="str">
        <f>IFERROR(__xludf.DUMMYFUNCTION("SPLIT(A265, "" + "", FALSE)"),"Riichi")</f>
        <v>Riichi</v>
      </c>
      <c r="D265" s="2" t="str">
        <f>IFERROR(__xludf.DUMMYFUNCTION("""COMPUTED_VALUE"""),"Honroutou")</f>
        <v>Honroutou</v>
      </c>
    </row>
    <row r="266">
      <c r="A266" s="1" t="s">
        <v>272</v>
      </c>
      <c r="B266" s="1">
        <v>61.0</v>
      </c>
      <c r="C266" s="2" t="str">
        <f>IFERROR(__xludf.DUMMYFUNCTION("SPLIT(A266, "" + "", FALSE)"),"Double Riichi")</f>
        <v>Double Riichi</v>
      </c>
      <c r="D266" s="2" t="str">
        <f>IFERROR(__xludf.DUMMYFUNCTION("""COMPUTED_VALUE"""),"Chanta")</f>
        <v>Chanta</v>
      </c>
    </row>
    <row r="267">
      <c r="A267" s="1" t="s">
        <v>273</v>
      </c>
      <c r="B267" s="1">
        <v>61.0</v>
      </c>
      <c r="C267" s="2" t="str">
        <f>IFERROR(__xludf.DUMMYFUNCTION("SPLIT(A267, "" + "", FALSE)"),"Doukou")</f>
        <v>Doukou</v>
      </c>
      <c r="D267" s="2" t="str">
        <f>IFERROR(__xludf.DUMMYFUNCTION("""COMPUTED_VALUE"""),"Chanta")</f>
        <v>Chanta</v>
      </c>
    </row>
    <row r="268">
      <c r="A268" s="1" t="s">
        <v>274</v>
      </c>
      <c r="B268" s="1">
        <v>61.0</v>
      </c>
      <c r="C268" s="2" t="str">
        <f>IFERROR(__xludf.DUMMYFUNCTION("SPLIT(A268, "" + "", FALSE)"),"Doukou")</f>
        <v>Doukou</v>
      </c>
      <c r="D268" s="2" t="str">
        <f>IFERROR(__xludf.DUMMYFUNCTION("""COMPUTED_VALUE"""),"Junchan")</f>
        <v>Junchan</v>
      </c>
    </row>
    <row r="269">
      <c r="A269" s="1" t="s">
        <v>275</v>
      </c>
      <c r="B269" s="1">
        <v>61.0</v>
      </c>
      <c r="C269" s="2" t="str">
        <f>IFERROR(__xludf.DUMMYFUNCTION("SPLIT(A269, "" + "", FALSE)"),"Ryanpeikou")</f>
        <v>Ryanpeikou</v>
      </c>
      <c r="D269" s="2" t="str">
        <f>IFERROR(__xludf.DUMMYFUNCTION("""COMPUTED_VALUE"""),"Chanta")</f>
        <v>Chanta</v>
      </c>
    </row>
    <row r="270">
      <c r="A270" s="1" t="s">
        <v>276</v>
      </c>
      <c r="B270" s="1">
        <v>60.0</v>
      </c>
      <c r="C270" s="2" t="str">
        <f>IFERROR(__xludf.DUMMYFUNCTION("SPLIT(A270, "" + "", FALSE)"),"Ippatsu")</f>
        <v>Ippatsu</v>
      </c>
      <c r="D270" s="2" t="str">
        <f>IFERROR(__xludf.DUMMYFUNCTION("""COMPUTED_VALUE"""),"Chankan")</f>
        <v>Chankan</v>
      </c>
    </row>
    <row r="271">
      <c r="A271" s="1" t="s">
        <v>277</v>
      </c>
      <c r="B271" s="1">
        <v>60.0</v>
      </c>
      <c r="C271" s="2" t="str">
        <f>IFERROR(__xludf.DUMMYFUNCTION("SPLIT(A271, "" + "", FALSE)"),"Sankantsu")</f>
        <v>Sankantsu</v>
      </c>
      <c r="D271" s="2" t="str">
        <f>IFERROR(__xludf.DUMMYFUNCTION("""COMPUTED_VALUE"""),"Dora")</f>
        <v>Dora</v>
      </c>
    </row>
    <row r="272">
      <c r="A272" s="1" t="s">
        <v>278</v>
      </c>
      <c r="B272" s="1">
        <v>60.0</v>
      </c>
      <c r="C272" s="2" t="str">
        <f>IFERROR(__xludf.DUMMYFUNCTION("SPLIT(A272, "" + "", FALSE)"),"Sankantsu")</f>
        <v>Sankantsu</v>
      </c>
      <c r="D272" s="2" t="str">
        <f>IFERROR(__xludf.DUMMYFUNCTION("""COMPUTED_VALUE"""),"Yakuhai Dragon")</f>
        <v>Yakuhai Dragon</v>
      </c>
    </row>
    <row r="273">
      <c r="A273" s="1" t="s">
        <v>279</v>
      </c>
      <c r="B273" s="1">
        <v>51.0</v>
      </c>
      <c r="C273" s="2" t="str">
        <f>IFERROR(__xludf.DUMMYFUNCTION("SPLIT(A273, "" + "", FALSE)"),"Chankan")</f>
        <v>Chankan</v>
      </c>
      <c r="D273" s="2" t="str">
        <f>IFERROR(__xludf.DUMMYFUNCTION("""COMPUTED_VALUE"""),"Honitsu")</f>
        <v>Honitsu</v>
      </c>
    </row>
    <row r="274">
      <c r="A274" s="1" t="s">
        <v>280</v>
      </c>
      <c r="B274" s="1">
        <v>47.0</v>
      </c>
      <c r="C274" s="2" t="str">
        <f>IFERROR(__xludf.DUMMYFUNCTION("SPLIT(A274, "" + "", FALSE)"),"Sankantsu")</f>
        <v>Sankantsu</v>
      </c>
      <c r="D274" s="2" t="str">
        <f>IFERROR(__xludf.DUMMYFUNCTION("""COMPUTED_VALUE"""),"Yakuhai Wind")</f>
        <v>Yakuhai Wind</v>
      </c>
    </row>
    <row r="275">
      <c r="A275" s="1" t="s">
        <v>281</v>
      </c>
      <c r="B275" s="1">
        <v>46.0</v>
      </c>
      <c r="C275" s="2" t="str">
        <f>IFERROR(__xludf.DUMMYFUNCTION("SPLIT(A275, "" + "", FALSE)"),"Chankan")</f>
        <v>Chankan</v>
      </c>
      <c r="D275" s="2" t="str">
        <f>IFERROR(__xludf.DUMMYFUNCTION("""COMPUTED_VALUE"""),"Iipeikou")</f>
        <v>Iipeikou</v>
      </c>
    </row>
    <row r="276">
      <c r="A276" s="1" t="s">
        <v>282</v>
      </c>
      <c r="B276" s="1">
        <v>42.0</v>
      </c>
      <c r="C276" s="2" t="str">
        <f>IFERROR(__xludf.DUMMYFUNCTION("SPLIT(A276, "" + "", FALSE)"),"Chankan")</f>
        <v>Chankan</v>
      </c>
      <c r="D276" s="2" t="str">
        <f>IFERROR(__xludf.DUMMYFUNCTION("""COMPUTED_VALUE"""),"Itsu")</f>
        <v>Itsu</v>
      </c>
    </row>
    <row r="277">
      <c r="A277" s="1" t="s">
        <v>283</v>
      </c>
      <c r="B277" s="1">
        <v>41.0</v>
      </c>
      <c r="C277" s="2" t="str">
        <f>IFERROR(__xludf.DUMMYFUNCTION("SPLIT(A277, "" + "", FALSE)"),"Ryanpeikou")</f>
        <v>Ryanpeikou</v>
      </c>
      <c r="D277" s="2" t="str">
        <f>IFERROR(__xludf.DUMMYFUNCTION("""COMPUTED_VALUE"""),"Junchan")</f>
        <v>Junchan</v>
      </c>
    </row>
    <row r="278">
      <c r="A278" s="1" t="s">
        <v>284</v>
      </c>
      <c r="B278" s="1">
        <v>40.0</v>
      </c>
      <c r="C278" s="2" t="str">
        <f>IFERROR(__xludf.DUMMYFUNCTION("SPLIT(A278, "" + "", FALSE)"),"Sankantsu")</f>
        <v>Sankantsu</v>
      </c>
      <c r="D278" s="2" t="str">
        <f>IFERROR(__xludf.DUMMYFUNCTION("""COMPUTED_VALUE"""),"Toitoi")</f>
        <v>Toitoi</v>
      </c>
    </row>
    <row r="279">
      <c r="A279" s="1" t="s">
        <v>285</v>
      </c>
      <c r="B279" s="1">
        <v>39.0</v>
      </c>
      <c r="C279" s="2" t="str">
        <f>IFERROR(__xludf.DUMMYFUNCTION("SPLIT(A279, "" + "", FALSE)"),"Double Riichi")</f>
        <v>Double Riichi</v>
      </c>
      <c r="D279" s="2" t="str">
        <f>IFERROR(__xludf.DUMMYFUNCTION("""COMPUTED_VALUE"""),"Haitei")</f>
        <v>Haitei</v>
      </c>
    </row>
    <row r="280">
      <c r="A280" s="1" t="s">
        <v>286</v>
      </c>
      <c r="B280" s="1">
        <v>39.0</v>
      </c>
      <c r="C280" s="2" t="str">
        <f>IFERROR(__xludf.DUMMYFUNCTION("SPLIT(A280, "" + "", FALSE)"),"Haitei")</f>
        <v>Haitei</v>
      </c>
      <c r="D280" s="2" t="str">
        <f>IFERROR(__xludf.DUMMYFUNCTION("""COMPUTED_VALUE"""),"Shousangen")</f>
        <v>Shousangen</v>
      </c>
    </row>
    <row r="281">
      <c r="A281" s="1" t="s">
        <v>287</v>
      </c>
      <c r="B281" s="1">
        <v>36.0</v>
      </c>
      <c r="C281" s="2" t="str">
        <f>IFERROR(__xludf.DUMMYFUNCTION("SPLIT(A281, "" + "", FALSE)"),"Sankantsu")</f>
        <v>Sankantsu</v>
      </c>
      <c r="D281" s="2" t="str">
        <f>IFERROR(__xludf.DUMMYFUNCTION("""COMPUTED_VALUE"""),"Akadora")</f>
        <v>Akadora</v>
      </c>
    </row>
    <row r="282">
      <c r="A282" s="1" t="s">
        <v>288</v>
      </c>
      <c r="B282" s="1">
        <v>35.0</v>
      </c>
      <c r="C282" s="2" t="str">
        <f>IFERROR(__xludf.DUMMYFUNCTION("SPLIT(A282, "" + "", FALSE)"),"Rinshan")</f>
        <v>Rinshan</v>
      </c>
      <c r="D282" s="2" t="str">
        <f>IFERROR(__xludf.DUMMYFUNCTION("""COMPUTED_VALUE"""),"Shousangen")</f>
        <v>Shousangen</v>
      </c>
    </row>
    <row r="283">
      <c r="A283" s="1" t="s">
        <v>289</v>
      </c>
      <c r="B283" s="1">
        <v>35.0</v>
      </c>
      <c r="C283" s="2" t="str">
        <f>IFERROR(__xludf.DUMMYFUNCTION("SPLIT(A283, "" + "", FALSE)"),"Tsumo")</f>
        <v>Tsumo</v>
      </c>
      <c r="D283" s="2" t="str">
        <f>IFERROR(__xludf.DUMMYFUNCTION("""COMPUTED_VALUE"""),"Honroutou")</f>
        <v>Honroutou</v>
      </c>
    </row>
    <row r="284">
      <c r="A284" s="1" t="s">
        <v>290</v>
      </c>
      <c r="B284" s="1">
        <v>34.0</v>
      </c>
      <c r="C284" s="2" t="str">
        <f>IFERROR(__xludf.DUMMYFUNCTION("SPLIT(A284, "" + "", FALSE)"),"Doukou")</f>
        <v>Doukou</v>
      </c>
      <c r="D284" s="2" t="str">
        <f>IFERROR(__xludf.DUMMYFUNCTION("""COMPUTED_VALUE"""),"Uradora")</f>
        <v>Uradora</v>
      </c>
    </row>
    <row r="285">
      <c r="A285" s="1" t="s">
        <v>291</v>
      </c>
      <c r="B285" s="1">
        <v>34.0</v>
      </c>
      <c r="C285" s="2" t="str">
        <f>IFERROR(__xludf.DUMMYFUNCTION("SPLIT(A285, "" + "", FALSE)"),"Houtei")</f>
        <v>Houtei</v>
      </c>
      <c r="D285" s="2" t="str">
        <f>IFERROR(__xludf.DUMMYFUNCTION("""COMPUTED_VALUE"""),"Shousangen")</f>
        <v>Shousangen</v>
      </c>
    </row>
    <row r="286">
      <c r="A286" s="1" t="s">
        <v>292</v>
      </c>
      <c r="B286" s="1">
        <v>27.0</v>
      </c>
      <c r="C286" s="2" t="str">
        <f>IFERROR(__xludf.DUMMYFUNCTION("SPLIT(A286, "" + "", FALSE)"),"Double Riichi")</f>
        <v>Double Riichi</v>
      </c>
      <c r="D286" s="2" t="str">
        <f>IFERROR(__xludf.DUMMYFUNCTION("""COMPUTED_VALUE"""),"Houtei")</f>
        <v>Houtei</v>
      </c>
    </row>
    <row r="287">
      <c r="A287" s="1" t="s">
        <v>293</v>
      </c>
      <c r="B287" s="1">
        <v>26.0</v>
      </c>
      <c r="C287" s="2" t="str">
        <f>IFERROR(__xludf.DUMMYFUNCTION("SPLIT(A287, "" + "", FALSE)"),"Haitei")</f>
        <v>Haitei</v>
      </c>
      <c r="D287" s="2" t="str">
        <f>IFERROR(__xludf.DUMMYFUNCTION("""COMPUTED_VALUE"""),"Ryanpeikou")</f>
        <v>Ryanpeikou</v>
      </c>
    </row>
    <row r="288">
      <c r="A288" s="1" t="s">
        <v>294</v>
      </c>
      <c r="B288" s="1">
        <v>25.0</v>
      </c>
      <c r="C288" s="2" t="str">
        <f>IFERROR(__xludf.DUMMYFUNCTION("SPLIT(A288, "" + "", FALSE)"),"Double Riichi")</f>
        <v>Double Riichi</v>
      </c>
      <c r="D288" s="2" t="str">
        <f>IFERROR(__xludf.DUMMYFUNCTION("""COMPUTED_VALUE"""),"Rinshan")</f>
        <v>Rinshan</v>
      </c>
    </row>
    <row r="289">
      <c r="A289" s="1" t="s">
        <v>295</v>
      </c>
      <c r="B289" s="1">
        <v>25.0</v>
      </c>
      <c r="C289" s="2" t="str">
        <f>IFERROR(__xludf.DUMMYFUNCTION("SPLIT(A289, "" + "", FALSE)"),"Rinshan")</f>
        <v>Rinshan</v>
      </c>
      <c r="D289" s="2" t="str">
        <f>IFERROR(__xludf.DUMMYFUNCTION("""COMPUTED_VALUE"""),"Honroutou")</f>
        <v>Honroutou</v>
      </c>
    </row>
    <row r="290">
      <c r="A290" s="1" t="s">
        <v>296</v>
      </c>
      <c r="B290" s="1">
        <v>24.0</v>
      </c>
      <c r="C290" s="2" t="str">
        <f>IFERROR(__xludf.DUMMYFUNCTION("SPLIT(A290, "" + "", FALSE)"),"Rinshan")</f>
        <v>Rinshan</v>
      </c>
      <c r="D290" s="2" t="str">
        <f>IFERROR(__xludf.DUMMYFUNCTION("""COMPUTED_VALUE"""),"Doukou")</f>
        <v>Doukou</v>
      </c>
    </row>
    <row r="291">
      <c r="A291" s="1" t="s">
        <v>297</v>
      </c>
      <c r="B291" s="1">
        <v>24.0</v>
      </c>
      <c r="C291" s="2" t="str">
        <f>IFERROR(__xludf.DUMMYFUNCTION("SPLIT(A291, "" + "", FALSE)"),"Shousangen")</f>
        <v>Shousangen</v>
      </c>
      <c r="D291" s="2" t="str">
        <f>IFERROR(__xludf.DUMMYFUNCTION("""COMPUTED_VALUE"""),"Uradora")</f>
        <v>Uradora</v>
      </c>
    </row>
    <row r="292">
      <c r="A292" s="1" t="s">
        <v>298</v>
      </c>
      <c r="B292" s="1">
        <v>23.0</v>
      </c>
      <c r="C292" s="2" t="str">
        <f>IFERROR(__xludf.DUMMYFUNCTION("SPLIT(A292, "" + "", FALSE)"),"Ippatsu")</f>
        <v>Ippatsu</v>
      </c>
      <c r="D292" s="2" t="str">
        <f>IFERROR(__xludf.DUMMYFUNCTION("""COMPUTED_VALUE"""),"Doukou")</f>
        <v>Doukou</v>
      </c>
    </row>
    <row r="293">
      <c r="A293" s="1" t="s">
        <v>299</v>
      </c>
      <c r="B293" s="1">
        <v>23.0</v>
      </c>
      <c r="C293" s="2" t="str">
        <f>IFERROR(__xludf.DUMMYFUNCTION("SPLIT(A293, "" + "", FALSE)"),"Sankantsu")</f>
        <v>Sankantsu</v>
      </c>
      <c r="D293" s="2" t="str">
        <f>IFERROR(__xludf.DUMMYFUNCTION("""COMPUTED_VALUE"""),"Honitsu")</f>
        <v>Honitsu</v>
      </c>
    </row>
    <row r="294">
      <c r="A294" s="1" t="s">
        <v>300</v>
      </c>
      <c r="B294" s="1">
        <v>21.0</v>
      </c>
      <c r="C294" s="2" t="str">
        <f>IFERROR(__xludf.DUMMYFUNCTION("SPLIT(A294, "" + "", FALSE)"),"Rinshan")</f>
        <v>Rinshan</v>
      </c>
      <c r="D294" s="2" t="str">
        <f>IFERROR(__xludf.DUMMYFUNCTION("""COMPUTED_VALUE"""),"Sankantsu")</f>
        <v>Sankantsu</v>
      </c>
    </row>
    <row r="295">
      <c r="A295" s="1" t="s">
        <v>301</v>
      </c>
      <c r="B295" s="1">
        <v>20.0</v>
      </c>
      <c r="C295" s="2" t="str">
        <f>IFERROR(__xludf.DUMMYFUNCTION("SPLIT(A295, "" + "", FALSE)"),"Rinshan")</f>
        <v>Rinshan</v>
      </c>
      <c r="D295" s="2" t="str">
        <f>IFERROR(__xludf.DUMMYFUNCTION("""COMPUTED_VALUE"""),"Junchan")</f>
        <v>Junchan</v>
      </c>
    </row>
    <row r="296">
      <c r="A296" s="1" t="s">
        <v>302</v>
      </c>
      <c r="B296" s="1">
        <v>18.0</v>
      </c>
      <c r="C296" s="2" t="str">
        <f>IFERROR(__xludf.DUMMYFUNCTION("SPLIT(A296, "" + "", FALSE)"),"Houtei")</f>
        <v>Houtei</v>
      </c>
      <c r="D296" s="2" t="str">
        <f>IFERROR(__xludf.DUMMYFUNCTION("""COMPUTED_VALUE"""),"Ryanpeikou")</f>
        <v>Ryanpeikou</v>
      </c>
    </row>
    <row r="297">
      <c r="A297" s="1" t="s">
        <v>303</v>
      </c>
      <c r="B297" s="1">
        <v>16.0</v>
      </c>
      <c r="C297" s="2" t="str">
        <f>IFERROR(__xludf.DUMMYFUNCTION("SPLIT(A297, "" + "", FALSE)"),"Haitei")</f>
        <v>Haitei</v>
      </c>
      <c r="D297" s="2" t="str">
        <f>IFERROR(__xludf.DUMMYFUNCTION("""COMPUTED_VALUE"""),"Doukou")</f>
        <v>Doukou</v>
      </c>
    </row>
    <row r="298">
      <c r="A298" s="1" t="s">
        <v>304</v>
      </c>
      <c r="B298" s="1">
        <v>16.0</v>
      </c>
      <c r="C298" s="2" t="str">
        <f>IFERROR(__xludf.DUMMYFUNCTION("SPLIT(A298, "" + "", FALSE)"),"Houtei")</f>
        <v>Houtei</v>
      </c>
      <c r="D298" s="2" t="str">
        <f>IFERROR(__xludf.DUMMYFUNCTION("""COMPUTED_VALUE"""),"Doukou")</f>
        <v>Doukou</v>
      </c>
    </row>
    <row r="299">
      <c r="A299" s="1" t="s">
        <v>305</v>
      </c>
      <c r="B299" s="1">
        <v>15.0</v>
      </c>
      <c r="C299" s="2" t="str">
        <f>IFERROR(__xludf.DUMMYFUNCTION("SPLIT(A299, "" + "", FALSE)"),"Chankan")</f>
        <v>Chankan</v>
      </c>
      <c r="D299" s="2" t="str">
        <f>IFERROR(__xludf.DUMMYFUNCTION("""COMPUTED_VALUE"""),"Chinitsu")</f>
        <v>Chinitsu</v>
      </c>
    </row>
    <row r="300">
      <c r="A300" s="1" t="s">
        <v>306</v>
      </c>
      <c r="B300" s="1">
        <v>15.0</v>
      </c>
      <c r="C300" s="2" t="str">
        <f>IFERROR(__xludf.DUMMYFUNCTION("SPLIT(A300, "" + "", FALSE)"),"Ippatsu")</f>
        <v>Ippatsu</v>
      </c>
      <c r="D300" s="2" t="str">
        <f>IFERROR(__xludf.DUMMYFUNCTION("""COMPUTED_VALUE"""),"Shousangen")</f>
        <v>Shousangen</v>
      </c>
    </row>
    <row r="301">
      <c r="A301" s="1" t="s">
        <v>307</v>
      </c>
      <c r="B301" s="1">
        <v>14.0</v>
      </c>
      <c r="C301" s="2" t="str">
        <f>IFERROR(__xludf.DUMMYFUNCTION("SPLIT(A301, "" + "", FALSE)"),"Double Riichi")</f>
        <v>Double Riichi</v>
      </c>
      <c r="D301" s="2" t="str">
        <f>IFERROR(__xludf.DUMMYFUNCTION("""COMPUTED_VALUE"""),"Junchan")</f>
        <v>Junchan</v>
      </c>
    </row>
    <row r="302">
      <c r="A302" s="1" t="s">
        <v>308</v>
      </c>
      <c r="B302" s="1">
        <v>13.0</v>
      </c>
      <c r="C302" s="2" t="str">
        <f>IFERROR(__xludf.DUMMYFUNCTION("SPLIT(A302, "" + "", FALSE)"),"Chankan")</f>
        <v>Chankan</v>
      </c>
      <c r="D302" s="2" t="str">
        <f>IFERROR(__xludf.DUMMYFUNCTION("""COMPUTED_VALUE"""),"Chanta")</f>
        <v>Chanta</v>
      </c>
    </row>
    <row r="303">
      <c r="A303" s="1" t="s">
        <v>309</v>
      </c>
      <c r="B303" s="1">
        <v>13.0</v>
      </c>
      <c r="C303" s="2" t="str">
        <f>IFERROR(__xludf.DUMMYFUNCTION("SPLIT(A303, "" + "", FALSE)"),"Honroutou")</f>
        <v>Honroutou</v>
      </c>
      <c r="D303" s="2" t="str">
        <f>IFERROR(__xludf.DUMMYFUNCTION("""COMPUTED_VALUE"""),"Uradora")</f>
        <v>Uradora</v>
      </c>
    </row>
    <row r="304">
      <c r="A304" s="1" t="s">
        <v>310</v>
      </c>
      <c r="B304" s="1">
        <v>13.0</v>
      </c>
      <c r="C304" s="2" t="str">
        <f>IFERROR(__xludf.DUMMYFUNCTION("SPLIT(A304, "" + "", FALSE)"),"Ippatsu")</f>
        <v>Ippatsu</v>
      </c>
      <c r="D304" s="2" t="str">
        <f>IFERROR(__xludf.DUMMYFUNCTION("""COMPUTED_VALUE"""),"Honroutou")</f>
        <v>Honroutou</v>
      </c>
    </row>
    <row r="305">
      <c r="A305" s="1" t="s">
        <v>311</v>
      </c>
      <c r="B305" s="1">
        <v>11.0</v>
      </c>
      <c r="C305" s="2" t="str">
        <f>IFERROR(__xludf.DUMMYFUNCTION("SPLIT(A305, "" + "", FALSE)"),"Chankan")</f>
        <v>Chankan</v>
      </c>
      <c r="D305" s="2" t="str">
        <f>IFERROR(__xludf.DUMMYFUNCTION("""COMPUTED_VALUE"""),"Junchan")</f>
        <v>Junchan</v>
      </c>
    </row>
    <row r="306">
      <c r="A306" s="1" t="s">
        <v>312</v>
      </c>
      <c r="B306" s="1">
        <v>11.0</v>
      </c>
      <c r="C306" s="2" t="str">
        <f>IFERROR(__xludf.DUMMYFUNCTION("SPLIT(A306, "" + "", FALSE)"),"Haitei")</f>
        <v>Haitei</v>
      </c>
      <c r="D306" s="2" t="str">
        <f>IFERROR(__xludf.DUMMYFUNCTION("""COMPUTED_VALUE"""),"Honroutou")</f>
        <v>Honroutou</v>
      </c>
    </row>
    <row r="307">
      <c r="A307" s="1" t="s">
        <v>313</v>
      </c>
      <c r="B307" s="1">
        <v>10.0</v>
      </c>
      <c r="C307" s="2" t="str">
        <f>IFERROR(__xludf.DUMMYFUNCTION("SPLIT(A307, "" + "", FALSE)"),"Houtei")</f>
        <v>Houtei</v>
      </c>
      <c r="D307" s="2" t="str">
        <f>IFERROR(__xludf.DUMMYFUNCTION("""COMPUTED_VALUE"""),"Honroutou")</f>
        <v>Honroutou</v>
      </c>
    </row>
    <row r="308">
      <c r="A308" s="1" t="s">
        <v>314</v>
      </c>
      <c r="B308" s="1">
        <v>9.0</v>
      </c>
      <c r="C308" s="2" t="str">
        <f>IFERROR(__xludf.DUMMYFUNCTION("SPLIT(A308, "" + "", FALSE)"),"Shousangen")</f>
        <v>Shousangen</v>
      </c>
      <c r="D308" s="2" t="str">
        <f>IFERROR(__xludf.DUMMYFUNCTION("""COMPUTED_VALUE"""),"Iipeikou")</f>
        <v>Iipeikou</v>
      </c>
    </row>
    <row r="309">
      <c r="A309" s="1" t="s">
        <v>315</v>
      </c>
      <c r="B309" s="1">
        <v>8.0</v>
      </c>
      <c r="C309" s="2" t="str">
        <f>IFERROR(__xludf.DUMMYFUNCTION("SPLIT(A309, "" + "", FALSE)"),"Sankantsu")</f>
        <v>Sankantsu</v>
      </c>
      <c r="D309" s="2" t="str">
        <f>IFERROR(__xludf.DUMMYFUNCTION("""COMPUTED_VALUE"""),"Sanankou")</f>
        <v>Sanankou</v>
      </c>
    </row>
    <row r="310">
      <c r="A310" s="1" t="s">
        <v>316</v>
      </c>
      <c r="B310" s="1">
        <v>6.0</v>
      </c>
      <c r="C310" s="2" t="str">
        <f>IFERROR(__xludf.DUMMYFUNCTION("SPLIT(A310, "" + "", FALSE)"),"Sankantsu")</f>
        <v>Sankantsu</v>
      </c>
      <c r="D310" s="2" t="str">
        <f>IFERROR(__xludf.DUMMYFUNCTION("""COMPUTED_VALUE"""),"Tanyao")</f>
        <v>Tanyao</v>
      </c>
    </row>
    <row r="311">
      <c r="A311" s="1" t="s">
        <v>317</v>
      </c>
      <c r="B311" s="1">
        <v>5.0</v>
      </c>
      <c r="C311" s="2" t="str">
        <f>IFERROR(__xludf.DUMMYFUNCTION("SPLIT(A311, "" + "", FALSE)"),"Sanankou")</f>
        <v>Sanankou</v>
      </c>
      <c r="D311" s="2" t="str">
        <f>IFERROR(__xludf.DUMMYFUNCTION("""COMPUTED_VALUE"""),"Junchan")</f>
        <v>Junchan</v>
      </c>
    </row>
    <row r="312">
      <c r="A312" s="1" t="s">
        <v>318</v>
      </c>
      <c r="B312" s="1">
        <v>4.0</v>
      </c>
      <c r="C312" s="2" t="str">
        <f>IFERROR(__xludf.DUMMYFUNCTION("SPLIT(A312, "" + "", FALSE)"),"Chankan")</f>
        <v>Chankan</v>
      </c>
      <c r="D312" s="2" t="str">
        <f>IFERROR(__xludf.DUMMYFUNCTION("""COMPUTED_VALUE"""),"Sanankou")</f>
        <v>Sanankou</v>
      </c>
    </row>
    <row r="313">
      <c r="A313" s="1" t="s">
        <v>319</v>
      </c>
      <c r="B313" s="1">
        <v>4.0</v>
      </c>
      <c r="C313" s="2" t="str">
        <f>IFERROR(__xludf.DUMMYFUNCTION("SPLIT(A313, "" + "", FALSE)"),"Haitei")</f>
        <v>Haitei</v>
      </c>
      <c r="D313" s="2" t="str">
        <f>IFERROR(__xludf.DUMMYFUNCTION("""COMPUTED_VALUE"""),"Sankantsu")</f>
        <v>Sankantsu</v>
      </c>
    </row>
    <row r="314">
      <c r="A314" s="1" t="s">
        <v>320</v>
      </c>
      <c r="B314" s="1">
        <v>4.0</v>
      </c>
      <c r="C314" s="2" t="str">
        <f>IFERROR(__xludf.DUMMYFUNCTION("SPLIT(A314, "" + "", FALSE)"),"Riichi")</f>
        <v>Riichi</v>
      </c>
      <c r="D314" s="2" t="str">
        <f>IFERROR(__xludf.DUMMYFUNCTION("""COMPUTED_VALUE"""),"Sankantsu")</f>
        <v>Sankantsu</v>
      </c>
    </row>
    <row r="315">
      <c r="A315" s="1" t="s">
        <v>321</v>
      </c>
      <c r="B315" s="1">
        <v>3.0</v>
      </c>
      <c r="C315" s="2" t="str">
        <f>IFERROR(__xludf.DUMMYFUNCTION("SPLIT(A315, "" + "", FALSE)"),"Double Riichi")</f>
        <v>Double Riichi</v>
      </c>
      <c r="D315" s="2" t="str">
        <f>IFERROR(__xludf.DUMMYFUNCTION("""COMPUTED_VALUE"""),"Toitoi")</f>
        <v>Toitoi</v>
      </c>
    </row>
    <row r="316">
      <c r="A316" s="1" t="s">
        <v>322</v>
      </c>
      <c r="B316" s="1">
        <v>3.0</v>
      </c>
      <c r="C316" s="2" t="str">
        <f>IFERROR(__xludf.DUMMYFUNCTION("SPLIT(A316, "" + "", FALSE)"),"Junchan")</f>
        <v>Junchan</v>
      </c>
      <c r="D316" s="2" t="str">
        <f>IFERROR(__xludf.DUMMYFUNCTION("""COMPUTED_VALUE"""),"Chinitsu")</f>
        <v>Chinitsu</v>
      </c>
    </row>
    <row r="317">
      <c r="A317" s="1" t="s">
        <v>323</v>
      </c>
      <c r="B317" s="1">
        <v>2.0</v>
      </c>
      <c r="C317" s="2" t="str">
        <f>IFERROR(__xludf.DUMMYFUNCTION("SPLIT(A317, "" + "", FALSE)"),"Double Riichi")</f>
        <v>Double Riichi</v>
      </c>
      <c r="D317" s="2" t="str">
        <f>IFERROR(__xludf.DUMMYFUNCTION("""COMPUTED_VALUE"""),"Chinitsu")</f>
        <v>Chinitsu</v>
      </c>
    </row>
    <row r="318">
      <c r="A318" s="1" t="s">
        <v>324</v>
      </c>
      <c r="B318" s="1">
        <v>2.0</v>
      </c>
      <c r="C318" s="2" t="str">
        <f>IFERROR(__xludf.DUMMYFUNCTION("SPLIT(A318, "" + "", FALSE)"),"Double Riichi")</f>
        <v>Double Riichi</v>
      </c>
      <c r="D318" s="2" t="str">
        <f>IFERROR(__xludf.DUMMYFUNCTION("""COMPUTED_VALUE"""),"Ryanpeikou")</f>
        <v>Ryanpeikou</v>
      </c>
    </row>
    <row r="319">
      <c r="A319" s="1" t="s">
        <v>325</v>
      </c>
      <c r="B319" s="1">
        <v>2.0</v>
      </c>
      <c r="C319" s="2" t="str">
        <f>IFERROR(__xludf.DUMMYFUNCTION("SPLIT(A319, "" + "", FALSE)"),"Ippatsu")</f>
        <v>Ippatsu</v>
      </c>
      <c r="D319" s="2" t="str">
        <f>IFERROR(__xludf.DUMMYFUNCTION("""COMPUTED_VALUE"""),"Sankantsu")</f>
        <v>Sankantsu</v>
      </c>
    </row>
    <row r="320">
      <c r="A320" s="1" t="s">
        <v>326</v>
      </c>
      <c r="B320" s="1">
        <v>2.0</v>
      </c>
      <c r="C320" s="2" t="str">
        <f>IFERROR(__xludf.DUMMYFUNCTION("SPLIT(A320, "" + "", FALSE)"),"Sankantsu")</f>
        <v>Sankantsu</v>
      </c>
      <c r="D320" s="2" t="str">
        <f>IFERROR(__xludf.DUMMYFUNCTION("""COMPUTED_VALUE"""),"Honroutou")</f>
        <v>Honroutou</v>
      </c>
    </row>
    <row r="321">
      <c r="A321" s="1" t="s">
        <v>327</v>
      </c>
      <c r="B321" s="1">
        <v>2.0</v>
      </c>
      <c r="C321" s="2" t="str">
        <f>IFERROR(__xludf.DUMMYFUNCTION("SPLIT(A321, "" + "", FALSE)"),"Sankantsu")</f>
        <v>Sankantsu</v>
      </c>
      <c r="D321" s="2" t="str">
        <f>IFERROR(__xludf.DUMMYFUNCTION("""COMPUTED_VALUE"""),"Uradora")</f>
        <v>Uradora</v>
      </c>
    </row>
    <row r="322">
      <c r="A322" s="1" t="s">
        <v>328</v>
      </c>
      <c r="B322" s="1">
        <v>1.0</v>
      </c>
      <c r="C322" s="2" t="str">
        <f>IFERROR(__xludf.DUMMYFUNCTION("SPLIT(A322, "" + "", FALSE)"),"Double Riichi")</f>
        <v>Double Riichi</v>
      </c>
      <c r="D322" s="2" t="str">
        <f>IFERROR(__xludf.DUMMYFUNCTION("""COMPUTED_VALUE"""),"Doukou")</f>
        <v>Doukou</v>
      </c>
    </row>
    <row r="323">
      <c r="A323" s="1" t="s">
        <v>329</v>
      </c>
      <c r="B323" s="1">
        <v>1.0</v>
      </c>
      <c r="C323" s="2" t="str">
        <f>IFERROR(__xludf.DUMMYFUNCTION("SPLIT(A323, "" + "", FALSE)"),"Double Riichi")</f>
        <v>Double Riichi</v>
      </c>
      <c r="D323" s="2" t="str">
        <f>IFERROR(__xludf.DUMMYFUNCTION("""COMPUTED_VALUE"""),"Honroutou")</f>
        <v>Honroutou</v>
      </c>
    </row>
    <row r="324">
      <c r="A324" s="1" t="s">
        <v>330</v>
      </c>
      <c r="B324" s="1">
        <v>1.0</v>
      </c>
      <c r="C324" s="2" t="str">
        <f>IFERROR(__xludf.DUMMYFUNCTION("SPLIT(A324, "" + "", FALSE)"),"Double Riichi")</f>
        <v>Double Riichi</v>
      </c>
      <c r="D324" s="2" t="str">
        <f>IFERROR(__xludf.DUMMYFUNCTION("""COMPUTED_VALUE"""),"Shousangen")</f>
        <v>Shousangen</v>
      </c>
    </row>
    <row r="325">
      <c r="A325" s="1" t="s">
        <v>331</v>
      </c>
      <c r="B325" s="1">
        <v>1.0</v>
      </c>
      <c r="C325" s="2" t="str">
        <f>IFERROR(__xludf.DUMMYFUNCTION("SPLIT(A325, "" + "", FALSE)"),"Sankantsu")</f>
        <v>Sankantsu</v>
      </c>
      <c r="D325" s="2" t="str">
        <f>IFERROR(__xludf.DUMMYFUNCTION("""COMPUTED_VALUE"""),"Chanta")</f>
        <v>Chanta</v>
      </c>
    </row>
    <row r="326">
      <c r="A326" s="1" t="s">
        <v>332</v>
      </c>
      <c r="B326" s="1">
        <v>1.0</v>
      </c>
      <c r="C326" s="2" t="str">
        <f>IFERROR(__xludf.DUMMYFUNCTION("SPLIT(A326, "" + "", FALSE)"),"Sankantsu")</f>
        <v>Sankantsu</v>
      </c>
      <c r="D326" s="2" t="str">
        <f>IFERROR(__xludf.DUMMYFUNCTION("""COMPUTED_VALUE"""),"Chinitsu")</f>
        <v>Chinitsu</v>
      </c>
    </row>
    <row r="327">
      <c r="A327" s="1" t="s">
        <v>333</v>
      </c>
      <c r="B327" s="1">
        <v>1.0</v>
      </c>
      <c r="C327" s="2" t="str">
        <f>IFERROR(__xludf.DUMMYFUNCTION("SPLIT(A327, "" + "", FALSE)"),"Sankantsu")</f>
        <v>Sankantsu</v>
      </c>
      <c r="D327" s="2" t="str">
        <f>IFERROR(__xludf.DUMMYFUNCTION("""COMPUTED_VALUE"""),"Doukou")</f>
        <v>Doukou</v>
      </c>
    </row>
    <row r="328">
      <c r="A328" s="1" t="s">
        <v>334</v>
      </c>
      <c r="B328" s="1">
        <v>1.0</v>
      </c>
      <c r="C328" s="2" t="str">
        <f>IFERROR(__xludf.DUMMYFUNCTION("SPLIT(A328, "" + "", FALSE)"),"Tsumo")</f>
        <v>Tsumo</v>
      </c>
      <c r="D328" s="2" t="str">
        <f>IFERROR(__xludf.DUMMYFUNCTION("""COMPUTED_VALUE"""),"Sankantsu")</f>
        <v>Sankantsu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5.75"/>
    <col customWidth="1" min="2" max="2" width="10.88"/>
  </cols>
  <sheetData>
    <row r="1">
      <c r="A1" s="8" t="str">
        <f>IFERROR(__xludf.DUMMYFUNCTION("QUERY('Pairing Totals'!A1:D328, ""select * where D != 'Dora' AND D != 'Akadora' AND D != 'Uradora' AND D != 'Tsumo' AND C != 'Dora' AND C != 'Akadora' AND C != 'Uradora' AND C != 'Tsumo' AND D != 'Riichi' AND C != 'Riichi' AND D != 'Ippatsu' AND C != 'Ipp"&amp;"atsu'"")"),"Combination")</f>
        <v>Combination</v>
      </c>
      <c r="B1" s="9" t="str">
        <f>IFERROR(__xludf.DUMMYFUNCTION("""COMPUTED_VALUE"""),"Occurrences")</f>
        <v>Occurrences</v>
      </c>
      <c r="C1" s="2" t="str">
        <f>IFERROR(__xludf.DUMMYFUNCTION("""COMPUTED_VALUE"""),"Yaku A")</f>
        <v>Yaku A</v>
      </c>
      <c r="D1" s="2" t="str">
        <f>IFERROR(__xludf.DUMMYFUNCTION("""COMPUTED_VALUE"""),"Yaku B")</f>
        <v>Yaku B</v>
      </c>
    </row>
    <row r="2">
      <c r="A2" s="2" t="str">
        <f>IFERROR(__xludf.DUMMYFUNCTION("""COMPUTED_VALUE"""),"Pinfu + Tanyao")</f>
        <v>Pinfu + Tanyao</v>
      </c>
      <c r="B2" s="2">
        <f>IFERROR(__xludf.DUMMYFUNCTION("""COMPUTED_VALUE"""),448159.0)</f>
        <v>448159</v>
      </c>
      <c r="C2" s="2" t="str">
        <f>IFERROR(__xludf.DUMMYFUNCTION("""COMPUTED_VALUE"""),"Pinfu")</f>
        <v>Pinfu</v>
      </c>
      <c r="D2" s="2" t="str">
        <f>IFERROR(__xludf.DUMMYFUNCTION("""COMPUTED_VALUE"""),"Tanyao")</f>
        <v>Tanyao</v>
      </c>
    </row>
    <row r="3">
      <c r="A3" s="2" t="str">
        <f>IFERROR(__xludf.DUMMYFUNCTION("""COMPUTED_VALUE"""),"Yakuhai Wind + Yakuhai Wind")</f>
        <v>Yakuhai Wind + Yakuhai Wind</v>
      </c>
      <c r="B3" s="2">
        <f>IFERROR(__xludf.DUMMYFUNCTION("""COMPUTED_VALUE"""),304198.0)</f>
        <v>304198</v>
      </c>
      <c r="C3" s="2" t="str">
        <f>IFERROR(__xludf.DUMMYFUNCTION("""COMPUTED_VALUE"""),"Yakuhai Wind")</f>
        <v>Yakuhai Wind</v>
      </c>
      <c r="D3" s="2" t="str">
        <f>IFERROR(__xludf.DUMMYFUNCTION("""COMPUTED_VALUE"""),"Yakuhai Wind")</f>
        <v>Yakuhai Wind</v>
      </c>
    </row>
    <row r="4">
      <c r="A4" s="2" t="str">
        <f>IFERROR(__xludf.DUMMYFUNCTION("""COMPUTED_VALUE"""),"Yakuhai Dragon + Honitsu")</f>
        <v>Yakuhai Dragon + Honitsu</v>
      </c>
      <c r="B4" s="2">
        <f>IFERROR(__xludf.DUMMYFUNCTION("""COMPUTED_VALUE"""),295655.0)</f>
        <v>295655</v>
      </c>
      <c r="C4" s="2" t="str">
        <f>IFERROR(__xludf.DUMMYFUNCTION("""COMPUTED_VALUE"""),"Yakuhai Dragon")</f>
        <v>Yakuhai Dragon</v>
      </c>
      <c r="D4" s="2" t="str">
        <f>IFERROR(__xludf.DUMMYFUNCTION("""COMPUTED_VALUE"""),"Honitsu")</f>
        <v>Honitsu</v>
      </c>
    </row>
    <row r="5">
      <c r="A5" s="2" t="str">
        <f>IFERROR(__xludf.DUMMYFUNCTION("""COMPUTED_VALUE"""),"Pinfu + Iipeikou")</f>
        <v>Pinfu + Iipeikou</v>
      </c>
      <c r="B5" s="2">
        <f>IFERROR(__xludf.DUMMYFUNCTION("""COMPUTED_VALUE"""),195972.0)</f>
        <v>195972</v>
      </c>
      <c r="C5" s="2" t="str">
        <f>IFERROR(__xludf.DUMMYFUNCTION("""COMPUTED_VALUE"""),"Pinfu")</f>
        <v>Pinfu</v>
      </c>
      <c r="D5" s="2" t="str">
        <f>IFERROR(__xludf.DUMMYFUNCTION("""COMPUTED_VALUE"""),"Iipeikou")</f>
        <v>Iipeikou</v>
      </c>
    </row>
    <row r="6">
      <c r="A6" s="2" t="str">
        <f>IFERROR(__xludf.DUMMYFUNCTION("""COMPUTED_VALUE"""),"Yakuhai Wind + Honitsu")</f>
        <v>Yakuhai Wind + Honitsu</v>
      </c>
      <c r="B6" s="2">
        <f>IFERROR(__xludf.DUMMYFUNCTION("""COMPUTED_VALUE"""),190411.0)</f>
        <v>190411</v>
      </c>
      <c r="C6" s="2" t="str">
        <f>IFERROR(__xludf.DUMMYFUNCTION("""COMPUTED_VALUE"""),"Yakuhai Wind")</f>
        <v>Yakuhai Wind</v>
      </c>
      <c r="D6" s="2" t="str">
        <f>IFERROR(__xludf.DUMMYFUNCTION("""COMPUTED_VALUE"""),"Honitsu")</f>
        <v>Honitsu</v>
      </c>
    </row>
    <row r="7">
      <c r="A7" s="2" t="str">
        <f>IFERROR(__xludf.DUMMYFUNCTION("""COMPUTED_VALUE"""),"Yakuhai Wind + Yakuhai Dragon")</f>
        <v>Yakuhai Wind + Yakuhai Dragon</v>
      </c>
      <c r="B7" s="2">
        <f>IFERROR(__xludf.DUMMYFUNCTION("""COMPUTED_VALUE"""),135115.0)</f>
        <v>135115</v>
      </c>
      <c r="C7" s="2" t="str">
        <f>IFERROR(__xludf.DUMMYFUNCTION("""COMPUTED_VALUE"""),"Yakuhai Wind")</f>
        <v>Yakuhai Wind</v>
      </c>
      <c r="D7" s="2" t="str">
        <f>IFERROR(__xludf.DUMMYFUNCTION("""COMPUTED_VALUE"""),"Yakuhai Dragon")</f>
        <v>Yakuhai Dragon</v>
      </c>
    </row>
    <row r="8">
      <c r="A8" s="2" t="str">
        <f>IFERROR(__xludf.DUMMYFUNCTION("""COMPUTED_VALUE"""),"Doujun + Tanyao")</f>
        <v>Doujun + Tanyao</v>
      </c>
      <c r="B8" s="2">
        <f>IFERROR(__xludf.DUMMYFUNCTION("""COMPUTED_VALUE"""),123951.0)</f>
        <v>123951</v>
      </c>
      <c r="C8" s="2" t="str">
        <f>IFERROR(__xludf.DUMMYFUNCTION("""COMPUTED_VALUE"""),"Doujun")</f>
        <v>Doujun</v>
      </c>
      <c r="D8" s="2" t="str">
        <f>IFERROR(__xludf.DUMMYFUNCTION("""COMPUTED_VALUE"""),"Tanyao")</f>
        <v>Tanyao</v>
      </c>
    </row>
    <row r="9">
      <c r="A9" s="2" t="str">
        <f>IFERROR(__xludf.DUMMYFUNCTION("""COMPUTED_VALUE"""),"Iipeikou + Tanyao")</f>
        <v>Iipeikou + Tanyao</v>
      </c>
      <c r="B9" s="2">
        <f>IFERROR(__xludf.DUMMYFUNCTION("""COMPUTED_VALUE"""),116519.0)</f>
        <v>116519</v>
      </c>
      <c r="C9" s="2" t="str">
        <f>IFERROR(__xludf.DUMMYFUNCTION("""COMPUTED_VALUE"""),"Iipeikou")</f>
        <v>Iipeikou</v>
      </c>
      <c r="D9" s="2" t="str">
        <f>IFERROR(__xludf.DUMMYFUNCTION("""COMPUTED_VALUE"""),"Tanyao")</f>
        <v>Tanyao</v>
      </c>
    </row>
    <row r="10">
      <c r="A10" s="2" t="str">
        <f>IFERROR(__xludf.DUMMYFUNCTION("""COMPUTED_VALUE"""),"Yakuhai Dragon + Yakuhai Dragon")</f>
        <v>Yakuhai Dragon + Yakuhai Dragon</v>
      </c>
      <c r="B10" s="2">
        <f>IFERROR(__xludf.DUMMYFUNCTION("""COMPUTED_VALUE"""),115070.0)</f>
        <v>115070</v>
      </c>
      <c r="C10" s="2" t="str">
        <f>IFERROR(__xludf.DUMMYFUNCTION("""COMPUTED_VALUE"""),"Yakuhai Dragon")</f>
        <v>Yakuhai Dragon</v>
      </c>
      <c r="D10" s="2" t="str">
        <f>IFERROR(__xludf.DUMMYFUNCTION("""COMPUTED_VALUE"""),"Yakuhai Dragon")</f>
        <v>Yakuhai Dragon</v>
      </c>
    </row>
    <row r="11">
      <c r="A11" s="2" t="str">
        <f>IFERROR(__xludf.DUMMYFUNCTION("""COMPUTED_VALUE"""),"Yakuhai Dragon + Yakuhai Wind")</f>
        <v>Yakuhai Dragon + Yakuhai Wind</v>
      </c>
      <c r="B11" s="2">
        <f>IFERROR(__xludf.DUMMYFUNCTION("""COMPUTED_VALUE"""),99887.0)</f>
        <v>99887</v>
      </c>
      <c r="C11" s="2" t="str">
        <f>IFERROR(__xludf.DUMMYFUNCTION("""COMPUTED_VALUE"""),"Yakuhai Dragon")</f>
        <v>Yakuhai Dragon</v>
      </c>
      <c r="D11" s="2" t="str">
        <f>IFERROR(__xludf.DUMMYFUNCTION("""COMPUTED_VALUE"""),"Yakuhai Wind")</f>
        <v>Yakuhai Wind</v>
      </c>
    </row>
    <row r="12">
      <c r="A12" s="2" t="str">
        <f>IFERROR(__xludf.DUMMYFUNCTION("""COMPUTED_VALUE"""),"Pinfu + Doujun")</f>
        <v>Pinfu + Doujun</v>
      </c>
      <c r="B12" s="2">
        <f>IFERROR(__xludf.DUMMYFUNCTION("""COMPUTED_VALUE"""),96596.0)</f>
        <v>96596</v>
      </c>
      <c r="C12" s="2" t="str">
        <f>IFERROR(__xludf.DUMMYFUNCTION("""COMPUTED_VALUE"""),"Pinfu")</f>
        <v>Pinfu</v>
      </c>
      <c r="D12" s="2" t="str">
        <f>IFERROR(__xludf.DUMMYFUNCTION("""COMPUTED_VALUE"""),"Doujun")</f>
        <v>Doujun</v>
      </c>
    </row>
    <row r="13">
      <c r="A13" s="2" t="str">
        <f>IFERROR(__xludf.DUMMYFUNCTION("""COMPUTED_VALUE"""),"Toitoi + Yakuhai Dragon")</f>
        <v>Toitoi + Yakuhai Dragon</v>
      </c>
      <c r="B13" s="2">
        <f>IFERROR(__xludf.DUMMYFUNCTION("""COMPUTED_VALUE"""),89278.0)</f>
        <v>89278</v>
      </c>
      <c r="C13" s="2" t="str">
        <f>IFERROR(__xludf.DUMMYFUNCTION("""COMPUTED_VALUE"""),"Toitoi")</f>
        <v>Toitoi</v>
      </c>
      <c r="D13" s="2" t="str">
        <f>IFERROR(__xludf.DUMMYFUNCTION("""COMPUTED_VALUE"""),"Yakuhai Dragon")</f>
        <v>Yakuhai Dragon</v>
      </c>
    </row>
    <row r="14">
      <c r="A14" s="2" t="str">
        <f>IFERROR(__xludf.DUMMYFUNCTION("""COMPUTED_VALUE"""),"Toitoi + Yakuhai Wind")</f>
        <v>Toitoi + Yakuhai Wind</v>
      </c>
      <c r="B14" s="2">
        <f>IFERROR(__xludf.DUMMYFUNCTION("""COMPUTED_VALUE"""),59076.0)</f>
        <v>59076</v>
      </c>
      <c r="C14" s="2" t="str">
        <f>IFERROR(__xludf.DUMMYFUNCTION("""COMPUTED_VALUE"""),"Toitoi")</f>
        <v>Toitoi</v>
      </c>
      <c r="D14" s="2" t="str">
        <f>IFERROR(__xludf.DUMMYFUNCTION("""COMPUTED_VALUE"""),"Yakuhai Wind")</f>
        <v>Yakuhai Wind</v>
      </c>
    </row>
    <row r="15">
      <c r="A15" s="2" t="str">
        <f>IFERROR(__xludf.DUMMYFUNCTION("""COMPUTED_VALUE"""),"Yakuhai Dragon + Chanta")</f>
        <v>Yakuhai Dragon + Chanta</v>
      </c>
      <c r="B15" s="2">
        <f>IFERROR(__xludf.DUMMYFUNCTION("""COMPUTED_VALUE"""),40100.0)</f>
        <v>40100</v>
      </c>
      <c r="C15" s="2" t="str">
        <f>IFERROR(__xludf.DUMMYFUNCTION("""COMPUTED_VALUE"""),"Yakuhai Dragon")</f>
        <v>Yakuhai Dragon</v>
      </c>
      <c r="D15" s="2" t="str">
        <f>IFERROR(__xludf.DUMMYFUNCTION("""COMPUTED_VALUE"""),"Chanta")</f>
        <v>Chanta</v>
      </c>
    </row>
    <row r="16">
      <c r="A16" s="2" t="str">
        <f>IFERROR(__xludf.DUMMYFUNCTION("""COMPUTED_VALUE"""),"Pinfu + Itsu")</f>
        <v>Pinfu + Itsu</v>
      </c>
      <c r="B16" s="2">
        <f>IFERROR(__xludf.DUMMYFUNCTION("""COMPUTED_VALUE"""),34645.0)</f>
        <v>34645</v>
      </c>
      <c r="C16" s="2" t="str">
        <f>IFERROR(__xludf.DUMMYFUNCTION("""COMPUTED_VALUE"""),"Pinfu")</f>
        <v>Pinfu</v>
      </c>
      <c r="D16" s="2" t="str">
        <f>IFERROR(__xludf.DUMMYFUNCTION("""COMPUTED_VALUE"""),"Itsu")</f>
        <v>Itsu</v>
      </c>
    </row>
    <row r="17">
      <c r="A17" s="2" t="str">
        <f>IFERROR(__xludf.DUMMYFUNCTION("""COMPUTED_VALUE"""),"Yakuhai Wind + Chanta")</f>
        <v>Yakuhai Wind + Chanta</v>
      </c>
      <c r="B17" s="2">
        <f>IFERROR(__xludf.DUMMYFUNCTION("""COMPUTED_VALUE"""),27432.0)</f>
        <v>27432</v>
      </c>
      <c r="C17" s="2" t="str">
        <f>IFERROR(__xludf.DUMMYFUNCTION("""COMPUTED_VALUE"""),"Yakuhai Wind")</f>
        <v>Yakuhai Wind</v>
      </c>
      <c r="D17" s="2" t="str">
        <f>IFERROR(__xludf.DUMMYFUNCTION("""COMPUTED_VALUE"""),"Chanta")</f>
        <v>Chanta</v>
      </c>
    </row>
    <row r="18">
      <c r="A18" s="2" t="str">
        <f>IFERROR(__xludf.DUMMYFUNCTION("""COMPUTED_VALUE"""),"Chiitoitsu + Tanyao")</f>
        <v>Chiitoitsu + Tanyao</v>
      </c>
      <c r="B18" s="2">
        <f>IFERROR(__xludf.DUMMYFUNCTION("""COMPUTED_VALUE"""),25002.0)</f>
        <v>25002</v>
      </c>
      <c r="C18" s="2" t="str">
        <f>IFERROR(__xludf.DUMMYFUNCTION("""COMPUTED_VALUE"""),"Chiitoitsu")</f>
        <v>Chiitoitsu</v>
      </c>
      <c r="D18" s="2" t="str">
        <f>IFERROR(__xludf.DUMMYFUNCTION("""COMPUTED_VALUE"""),"Tanyao")</f>
        <v>Tanyao</v>
      </c>
    </row>
    <row r="19">
      <c r="A19" s="2" t="str">
        <f>IFERROR(__xludf.DUMMYFUNCTION("""COMPUTED_VALUE"""),"Toitoi + Honitsu")</f>
        <v>Toitoi + Honitsu</v>
      </c>
      <c r="B19" s="2">
        <f>IFERROR(__xludf.DUMMYFUNCTION("""COMPUTED_VALUE"""),24419.0)</f>
        <v>24419</v>
      </c>
      <c r="C19" s="2" t="str">
        <f>IFERROR(__xludf.DUMMYFUNCTION("""COMPUTED_VALUE"""),"Toitoi")</f>
        <v>Toitoi</v>
      </c>
      <c r="D19" s="2" t="str">
        <f>IFERROR(__xludf.DUMMYFUNCTION("""COMPUTED_VALUE"""),"Honitsu")</f>
        <v>Honitsu</v>
      </c>
    </row>
    <row r="20">
      <c r="A20" s="2" t="str">
        <f>IFERROR(__xludf.DUMMYFUNCTION("""COMPUTED_VALUE"""),"Sanankou + Toitoi")</f>
        <v>Sanankou + Toitoi</v>
      </c>
      <c r="B20" s="2">
        <f>IFERROR(__xludf.DUMMYFUNCTION("""COMPUTED_VALUE"""),23131.0)</f>
        <v>23131</v>
      </c>
      <c r="C20" s="2" t="str">
        <f>IFERROR(__xludf.DUMMYFUNCTION("""COMPUTED_VALUE"""),"Sanankou")</f>
        <v>Sanankou</v>
      </c>
      <c r="D20" s="2" t="str">
        <f>IFERROR(__xludf.DUMMYFUNCTION("""COMPUTED_VALUE"""),"Toitoi")</f>
        <v>Toitoi</v>
      </c>
    </row>
    <row r="21">
      <c r="A21" s="2" t="str">
        <f>IFERROR(__xludf.DUMMYFUNCTION("""COMPUTED_VALUE"""),"Doujun + Yakuhai Dragon")</f>
        <v>Doujun + Yakuhai Dragon</v>
      </c>
      <c r="B21" s="2">
        <f>IFERROR(__xludf.DUMMYFUNCTION("""COMPUTED_VALUE"""),18276.0)</f>
        <v>18276</v>
      </c>
      <c r="C21" s="2" t="str">
        <f>IFERROR(__xludf.DUMMYFUNCTION("""COMPUTED_VALUE"""),"Doujun")</f>
        <v>Doujun</v>
      </c>
      <c r="D21" s="2" t="str">
        <f>IFERROR(__xludf.DUMMYFUNCTION("""COMPUTED_VALUE"""),"Yakuhai Dragon")</f>
        <v>Yakuhai Dragon</v>
      </c>
    </row>
    <row r="22">
      <c r="A22" s="2" t="str">
        <f>IFERROR(__xludf.DUMMYFUNCTION("""COMPUTED_VALUE"""),"Sanankou + Yakuhai Dragon")</f>
        <v>Sanankou + Yakuhai Dragon</v>
      </c>
      <c r="B22" s="2">
        <f>IFERROR(__xludf.DUMMYFUNCTION("""COMPUTED_VALUE"""),17102.0)</f>
        <v>17102</v>
      </c>
      <c r="C22" s="2" t="str">
        <f>IFERROR(__xludf.DUMMYFUNCTION("""COMPUTED_VALUE"""),"Sanankou")</f>
        <v>Sanankou</v>
      </c>
      <c r="D22" s="2" t="str">
        <f>IFERROR(__xludf.DUMMYFUNCTION("""COMPUTED_VALUE"""),"Yakuhai Dragon")</f>
        <v>Yakuhai Dragon</v>
      </c>
    </row>
    <row r="23">
      <c r="A23" s="2" t="str">
        <f>IFERROR(__xludf.DUMMYFUNCTION("""COMPUTED_VALUE"""),"Shousangen + Yakuhai Dragon")</f>
        <v>Shousangen + Yakuhai Dragon</v>
      </c>
      <c r="B23" s="2">
        <f>IFERROR(__xludf.DUMMYFUNCTION("""COMPUTED_VALUE"""),17064.0)</f>
        <v>17064</v>
      </c>
      <c r="C23" s="2" t="str">
        <f>IFERROR(__xludf.DUMMYFUNCTION("""COMPUTED_VALUE"""),"Shousangen")</f>
        <v>Shousangen</v>
      </c>
      <c r="D23" s="2" t="str">
        <f>IFERROR(__xludf.DUMMYFUNCTION("""COMPUTED_VALUE"""),"Yakuhai Dragon")</f>
        <v>Yakuhai Dragon</v>
      </c>
    </row>
    <row r="24">
      <c r="A24" s="2" t="str">
        <f>IFERROR(__xludf.DUMMYFUNCTION("""COMPUTED_VALUE"""),"Itsu + Honitsu")</f>
        <v>Itsu + Honitsu</v>
      </c>
      <c r="B24" s="2">
        <f>IFERROR(__xludf.DUMMYFUNCTION("""COMPUTED_VALUE"""),16970.0)</f>
        <v>16970</v>
      </c>
      <c r="C24" s="2" t="str">
        <f>IFERROR(__xludf.DUMMYFUNCTION("""COMPUTED_VALUE"""),"Itsu")</f>
        <v>Itsu</v>
      </c>
      <c r="D24" s="2" t="str">
        <f>IFERROR(__xludf.DUMMYFUNCTION("""COMPUTED_VALUE"""),"Honitsu")</f>
        <v>Honitsu</v>
      </c>
    </row>
    <row r="25">
      <c r="A25" s="2" t="str">
        <f>IFERROR(__xludf.DUMMYFUNCTION("""COMPUTED_VALUE"""),"Doujun + Chanta")</f>
        <v>Doujun + Chanta</v>
      </c>
      <c r="B25" s="2">
        <f>IFERROR(__xludf.DUMMYFUNCTION("""COMPUTED_VALUE"""),15543.0)</f>
        <v>15543</v>
      </c>
      <c r="C25" s="2" t="str">
        <f>IFERROR(__xludf.DUMMYFUNCTION("""COMPUTED_VALUE"""),"Doujun")</f>
        <v>Doujun</v>
      </c>
      <c r="D25" s="2" t="str">
        <f>IFERROR(__xludf.DUMMYFUNCTION("""COMPUTED_VALUE"""),"Chanta")</f>
        <v>Chanta</v>
      </c>
    </row>
    <row r="26">
      <c r="A26" s="2" t="str">
        <f>IFERROR(__xludf.DUMMYFUNCTION("""COMPUTED_VALUE"""),"Toitoi + Tanyao")</f>
        <v>Toitoi + Tanyao</v>
      </c>
      <c r="B26" s="2">
        <f>IFERROR(__xludf.DUMMYFUNCTION("""COMPUTED_VALUE"""),14812.0)</f>
        <v>14812</v>
      </c>
      <c r="C26" s="2" t="str">
        <f>IFERROR(__xludf.DUMMYFUNCTION("""COMPUTED_VALUE"""),"Toitoi")</f>
        <v>Toitoi</v>
      </c>
      <c r="D26" s="2" t="str">
        <f>IFERROR(__xludf.DUMMYFUNCTION("""COMPUTED_VALUE"""),"Tanyao")</f>
        <v>Tanyao</v>
      </c>
    </row>
    <row r="27">
      <c r="A27" s="2" t="str">
        <f>IFERROR(__xludf.DUMMYFUNCTION("""COMPUTED_VALUE"""),"Haitei + Tanyao")</f>
        <v>Haitei + Tanyao</v>
      </c>
      <c r="B27" s="2">
        <f>IFERROR(__xludf.DUMMYFUNCTION("""COMPUTED_VALUE"""),13463.0)</f>
        <v>13463</v>
      </c>
      <c r="C27" s="2" t="str">
        <f>IFERROR(__xludf.DUMMYFUNCTION("""COMPUTED_VALUE"""),"Haitei")</f>
        <v>Haitei</v>
      </c>
      <c r="D27" s="2" t="str">
        <f>IFERROR(__xludf.DUMMYFUNCTION("""COMPUTED_VALUE"""),"Tanyao")</f>
        <v>Tanyao</v>
      </c>
    </row>
    <row r="28">
      <c r="A28" s="2" t="str">
        <f>IFERROR(__xludf.DUMMYFUNCTION("""COMPUTED_VALUE"""),"Doujun + Yakuhai Wind")</f>
        <v>Doujun + Yakuhai Wind</v>
      </c>
      <c r="B28" s="2">
        <f>IFERROR(__xludf.DUMMYFUNCTION("""COMPUTED_VALUE"""),13032.0)</f>
        <v>13032</v>
      </c>
      <c r="C28" s="2" t="str">
        <f>IFERROR(__xludf.DUMMYFUNCTION("""COMPUTED_VALUE"""),"Doujun")</f>
        <v>Doujun</v>
      </c>
      <c r="D28" s="2" t="str">
        <f>IFERROR(__xludf.DUMMYFUNCTION("""COMPUTED_VALUE"""),"Yakuhai Wind")</f>
        <v>Yakuhai Wind</v>
      </c>
    </row>
    <row r="29">
      <c r="A29" s="2" t="str">
        <f>IFERROR(__xludf.DUMMYFUNCTION("""COMPUTED_VALUE"""),"Houtei + Tanyao")</f>
        <v>Houtei + Tanyao</v>
      </c>
      <c r="B29" s="2">
        <f>IFERROR(__xludf.DUMMYFUNCTION("""COMPUTED_VALUE"""),12744.0)</f>
        <v>12744</v>
      </c>
      <c r="C29" s="2" t="str">
        <f>IFERROR(__xludf.DUMMYFUNCTION("""COMPUTED_VALUE"""),"Houtei")</f>
        <v>Houtei</v>
      </c>
      <c r="D29" s="2" t="str">
        <f>IFERROR(__xludf.DUMMYFUNCTION("""COMPUTED_VALUE"""),"Tanyao")</f>
        <v>Tanyao</v>
      </c>
    </row>
    <row r="30">
      <c r="A30" s="2" t="str">
        <f>IFERROR(__xludf.DUMMYFUNCTION("""COMPUTED_VALUE"""),"Sanankou + Tanyao")</f>
        <v>Sanankou + Tanyao</v>
      </c>
      <c r="B30" s="2">
        <f>IFERROR(__xludf.DUMMYFUNCTION("""COMPUTED_VALUE"""),12400.0)</f>
        <v>12400</v>
      </c>
      <c r="C30" s="2" t="str">
        <f>IFERROR(__xludf.DUMMYFUNCTION("""COMPUTED_VALUE"""),"Sanankou")</f>
        <v>Sanankou</v>
      </c>
      <c r="D30" s="2" t="str">
        <f>IFERROR(__xludf.DUMMYFUNCTION("""COMPUTED_VALUE"""),"Tanyao")</f>
        <v>Tanyao</v>
      </c>
    </row>
    <row r="31">
      <c r="A31" s="2" t="str">
        <f>IFERROR(__xludf.DUMMYFUNCTION("""COMPUTED_VALUE"""),"Doujun + Junchan")</f>
        <v>Doujun + Junchan</v>
      </c>
      <c r="B31" s="2">
        <f>IFERROR(__xludf.DUMMYFUNCTION("""COMPUTED_VALUE"""),11359.0)</f>
        <v>11359</v>
      </c>
      <c r="C31" s="2" t="str">
        <f>IFERROR(__xludf.DUMMYFUNCTION("""COMPUTED_VALUE"""),"Doujun")</f>
        <v>Doujun</v>
      </c>
      <c r="D31" s="2" t="str">
        <f>IFERROR(__xludf.DUMMYFUNCTION("""COMPUTED_VALUE"""),"Junchan")</f>
        <v>Junchan</v>
      </c>
    </row>
    <row r="32">
      <c r="A32" s="2" t="str">
        <f>IFERROR(__xludf.DUMMYFUNCTION("""COMPUTED_VALUE"""),"Sanankou + Yakuhai Wind")</f>
        <v>Sanankou + Yakuhai Wind</v>
      </c>
      <c r="B32" s="2">
        <f>IFERROR(__xludf.DUMMYFUNCTION("""COMPUTED_VALUE"""),11243.0)</f>
        <v>11243</v>
      </c>
      <c r="C32" s="2" t="str">
        <f>IFERROR(__xludf.DUMMYFUNCTION("""COMPUTED_VALUE"""),"Sanankou")</f>
        <v>Sanankou</v>
      </c>
      <c r="D32" s="2" t="str">
        <f>IFERROR(__xludf.DUMMYFUNCTION("""COMPUTED_VALUE"""),"Yakuhai Wind")</f>
        <v>Yakuhai Wind</v>
      </c>
    </row>
    <row r="33">
      <c r="A33" s="2" t="str">
        <f>IFERROR(__xludf.DUMMYFUNCTION("""COMPUTED_VALUE"""),"Chanta + Honitsu")</f>
        <v>Chanta + Honitsu</v>
      </c>
      <c r="B33" s="2">
        <f>IFERROR(__xludf.DUMMYFUNCTION("""COMPUTED_VALUE"""),10728.0)</f>
        <v>10728</v>
      </c>
      <c r="C33" s="2" t="str">
        <f>IFERROR(__xludf.DUMMYFUNCTION("""COMPUTED_VALUE"""),"Chanta")</f>
        <v>Chanta</v>
      </c>
      <c r="D33" s="2" t="str">
        <f>IFERROR(__xludf.DUMMYFUNCTION("""COMPUTED_VALUE"""),"Honitsu")</f>
        <v>Honitsu</v>
      </c>
    </row>
    <row r="34">
      <c r="A34" s="2" t="str">
        <f>IFERROR(__xludf.DUMMYFUNCTION("""COMPUTED_VALUE"""),"Haitei + Pinfu")</f>
        <v>Haitei + Pinfu</v>
      </c>
      <c r="B34" s="2">
        <f>IFERROR(__xludf.DUMMYFUNCTION("""COMPUTED_VALUE"""),10300.0)</f>
        <v>10300</v>
      </c>
      <c r="C34" s="2" t="str">
        <f>IFERROR(__xludf.DUMMYFUNCTION("""COMPUTED_VALUE"""),"Haitei")</f>
        <v>Haitei</v>
      </c>
      <c r="D34" s="2" t="str">
        <f>IFERROR(__xludf.DUMMYFUNCTION("""COMPUTED_VALUE"""),"Pinfu")</f>
        <v>Pinfu</v>
      </c>
    </row>
    <row r="35">
      <c r="A35" s="2" t="str">
        <f>IFERROR(__xludf.DUMMYFUNCTION("""COMPUTED_VALUE"""),"Rinshan + Yakuhai Dragon")</f>
        <v>Rinshan + Yakuhai Dragon</v>
      </c>
      <c r="B35" s="2">
        <f>IFERROR(__xludf.DUMMYFUNCTION("""COMPUTED_VALUE"""),10217.0)</f>
        <v>10217</v>
      </c>
      <c r="C35" s="2" t="str">
        <f>IFERROR(__xludf.DUMMYFUNCTION("""COMPUTED_VALUE"""),"Rinshan")</f>
        <v>Rinshan</v>
      </c>
      <c r="D35" s="2" t="str">
        <f>IFERROR(__xludf.DUMMYFUNCTION("""COMPUTED_VALUE"""),"Yakuhai Dragon")</f>
        <v>Yakuhai Dragon</v>
      </c>
    </row>
    <row r="36">
      <c r="A36" s="2" t="str">
        <f>IFERROR(__xludf.DUMMYFUNCTION("""COMPUTED_VALUE"""),"Iipeikou + Yakuhai Dragon")</f>
        <v>Iipeikou + Yakuhai Dragon</v>
      </c>
      <c r="B36" s="2">
        <f>IFERROR(__xludf.DUMMYFUNCTION("""COMPUTED_VALUE"""),9826.0)</f>
        <v>9826</v>
      </c>
      <c r="C36" s="2" t="str">
        <f>IFERROR(__xludf.DUMMYFUNCTION("""COMPUTED_VALUE"""),"Iipeikou")</f>
        <v>Iipeikou</v>
      </c>
      <c r="D36" s="2" t="str">
        <f>IFERROR(__xludf.DUMMYFUNCTION("""COMPUTED_VALUE"""),"Yakuhai Dragon")</f>
        <v>Yakuhai Dragon</v>
      </c>
    </row>
    <row r="37">
      <c r="A37" s="2" t="str">
        <f>IFERROR(__xludf.DUMMYFUNCTION("""COMPUTED_VALUE"""),"Itsu + Yakuhai Dragon")</f>
        <v>Itsu + Yakuhai Dragon</v>
      </c>
      <c r="B37" s="2">
        <f>IFERROR(__xludf.DUMMYFUNCTION("""COMPUTED_VALUE"""),9301.0)</f>
        <v>9301</v>
      </c>
      <c r="C37" s="2" t="str">
        <f>IFERROR(__xludf.DUMMYFUNCTION("""COMPUTED_VALUE"""),"Itsu")</f>
        <v>Itsu</v>
      </c>
      <c r="D37" s="2" t="str">
        <f>IFERROR(__xludf.DUMMYFUNCTION("""COMPUTED_VALUE"""),"Yakuhai Dragon")</f>
        <v>Yakuhai Dragon</v>
      </c>
    </row>
    <row r="38">
      <c r="A38" s="2" t="str">
        <f>IFERROR(__xludf.DUMMYFUNCTION("""COMPUTED_VALUE"""),"Houtei + Pinfu")</f>
        <v>Houtei + Pinfu</v>
      </c>
      <c r="B38" s="2">
        <f>IFERROR(__xludf.DUMMYFUNCTION("""COMPUTED_VALUE"""),7620.0)</f>
        <v>7620</v>
      </c>
      <c r="C38" s="2" t="str">
        <f>IFERROR(__xludf.DUMMYFUNCTION("""COMPUTED_VALUE"""),"Houtei")</f>
        <v>Houtei</v>
      </c>
      <c r="D38" s="2" t="str">
        <f>IFERROR(__xludf.DUMMYFUNCTION("""COMPUTED_VALUE"""),"Pinfu")</f>
        <v>Pinfu</v>
      </c>
    </row>
    <row r="39">
      <c r="A39" s="2" t="str">
        <f>IFERROR(__xludf.DUMMYFUNCTION("""COMPUTED_VALUE"""),"Haitei + Yakuhai Dragon")</f>
        <v>Haitei + Yakuhai Dragon</v>
      </c>
      <c r="B39" s="2">
        <f>IFERROR(__xludf.DUMMYFUNCTION("""COMPUTED_VALUE"""),7523.0)</f>
        <v>7523</v>
      </c>
      <c r="C39" s="2" t="str">
        <f>IFERROR(__xludf.DUMMYFUNCTION("""COMPUTED_VALUE"""),"Haitei")</f>
        <v>Haitei</v>
      </c>
      <c r="D39" s="2" t="str">
        <f>IFERROR(__xludf.DUMMYFUNCTION("""COMPUTED_VALUE"""),"Yakuhai Dragon")</f>
        <v>Yakuhai Dragon</v>
      </c>
    </row>
    <row r="40">
      <c r="A40" s="2" t="str">
        <f>IFERROR(__xludf.DUMMYFUNCTION("""COMPUTED_VALUE"""),"Rinshan + Yakuhai Wind")</f>
        <v>Rinshan + Yakuhai Wind</v>
      </c>
      <c r="B40" s="2">
        <f>IFERROR(__xludf.DUMMYFUNCTION("""COMPUTED_VALUE"""),7277.0)</f>
        <v>7277</v>
      </c>
      <c r="C40" s="2" t="str">
        <f>IFERROR(__xludf.DUMMYFUNCTION("""COMPUTED_VALUE"""),"Rinshan")</f>
        <v>Rinshan</v>
      </c>
      <c r="D40" s="2" t="str">
        <f>IFERROR(__xludf.DUMMYFUNCTION("""COMPUTED_VALUE"""),"Yakuhai Wind")</f>
        <v>Yakuhai Wind</v>
      </c>
    </row>
    <row r="41">
      <c r="A41" s="2" t="str">
        <f>IFERROR(__xludf.DUMMYFUNCTION("""COMPUTED_VALUE"""),"Iipeikou + Honitsu")</f>
        <v>Iipeikou + Honitsu</v>
      </c>
      <c r="B41" s="2">
        <f>IFERROR(__xludf.DUMMYFUNCTION("""COMPUTED_VALUE"""),6626.0)</f>
        <v>6626</v>
      </c>
      <c r="C41" s="2" t="str">
        <f>IFERROR(__xludf.DUMMYFUNCTION("""COMPUTED_VALUE"""),"Iipeikou")</f>
        <v>Iipeikou</v>
      </c>
      <c r="D41" s="2" t="str">
        <f>IFERROR(__xludf.DUMMYFUNCTION("""COMPUTED_VALUE"""),"Honitsu")</f>
        <v>Honitsu</v>
      </c>
    </row>
    <row r="42">
      <c r="A42" s="2" t="str">
        <f>IFERROR(__xludf.DUMMYFUNCTION("""COMPUTED_VALUE"""),"Chiitoitsu + Honitsu")</f>
        <v>Chiitoitsu + Honitsu</v>
      </c>
      <c r="B42" s="2">
        <f>IFERROR(__xludf.DUMMYFUNCTION("""COMPUTED_VALUE"""),6387.0)</f>
        <v>6387</v>
      </c>
      <c r="C42" s="2" t="str">
        <f>IFERROR(__xludf.DUMMYFUNCTION("""COMPUTED_VALUE"""),"Chiitoitsu")</f>
        <v>Chiitoitsu</v>
      </c>
      <c r="D42" s="2" t="str">
        <f>IFERROR(__xludf.DUMMYFUNCTION("""COMPUTED_VALUE"""),"Honitsu")</f>
        <v>Honitsu</v>
      </c>
    </row>
    <row r="43">
      <c r="A43" s="2" t="str">
        <f>IFERROR(__xludf.DUMMYFUNCTION("""COMPUTED_VALUE"""),"Houtei + Yakuhai Dragon")</f>
        <v>Houtei + Yakuhai Dragon</v>
      </c>
      <c r="B43" s="2">
        <f>IFERROR(__xludf.DUMMYFUNCTION("""COMPUTED_VALUE"""),6260.0)</f>
        <v>6260</v>
      </c>
      <c r="C43" s="2" t="str">
        <f>IFERROR(__xludf.DUMMYFUNCTION("""COMPUTED_VALUE"""),"Houtei")</f>
        <v>Houtei</v>
      </c>
      <c r="D43" s="2" t="str">
        <f>IFERROR(__xludf.DUMMYFUNCTION("""COMPUTED_VALUE"""),"Yakuhai Dragon")</f>
        <v>Yakuhai Dragon</v>
      </c>
    </row>
    <row r="44">
      <c r="A44" s="2" t="str">
        <f>IFERROR(__xludf.DUMMYFUNCTION("""COMPUTED_VALUE"""),"Iipeikou + Yakuhai Wind")</f>
        <v>Iipeikou + Yakuhai Wind</v>
      </c>
      <c r="B44" s="2">
        <f>IFERROR(__xludf.DUMMYFUNCTION("""COMPUTED_VALUE"""),6258.0)</f>
        <v>6258</v>
      </c>
      <c r="C44" s="2" t="str">
        <f>IFERROR(__xludf.DUMMYFUNCTION("""COMPUTED_VALUE"""),"Iipeikou")</f>
        <v>Iipeikou</v>
      </c>
      <c r="D44" s="2" t="str">
        <f>IFERROR(__xludf.DUMMYFUNCTION("""COMPUTED_VALUE"""),"Yakuhai Wind")</f>
        <v>Yakuhai Wind</v>
      </c>
    </row>
    <row r="45">
      <c r="A45" s="2" t="str">
        <f>IFERROR(__xludf.DUMMYFUNCTION("""COMPUTED_VALUE"""),"Itsu + Yakuhai Wind")</f>
        <v>Itsu + Yakuhai Wind</v>
      </c>
      <c r="B45" s="2">
        <f>IFERROR(__xludf.DUMMYFUNCTION("""COMPUTED_VALUE"""),6012.0)</f>
        <v>6012</v>
      </c>
      <c r="C45" s="2" t="str">
        <f>IFERROR(__xludf.DUMMYFUNCTION("""COMPUTED_VALUE"""),"Itsu")</f>
        <v>Itsu</v>
      </c>
      <c r="D45" s="2" t="str">
        <f>IFERROR(__xludf.DUMMYFUNCTION("""COMPUTED_VALUE"""),"Yakuhai Wind")</f>
        <v>Yakuhai Wind</v>
      </c>
    </row>
    <row r="46">
      <c r="A46" s="2" t="str">
        <f>IFERROR(__xludf.DUMMYFUNCTION("""COMPUTED_VALUE"""),"Iipeikou + Doujun")</f>
        <v>Iipeikou + Doujun</v>
      </c>
      <c r="B46" s="2">
        <f>IFERROR(__xludf.DUMMYFUNCTION("""COMPUTED_VALUE"""),5485.0)</f>
        <v>5485</v>
      </c>
      <c r="C46" s="2" t="str">
        <f>IFERROR(__xludf.DUMMYFUNCTION("""COMPUTED_VALUE"""),"Iipeikou")</f>
        <v>Iipeikou</v>
      </c>
      <c r="D46" s="2" t="str">
        <f>IFERROR(__xludf.DUMMYFUNCTION("""COMPUTED_VALUE"""),"Doujun")</f>
        <v>Doujun</v>
      </c>
    </row>
    <row r="47">
      <c r="A47" s="2" t="str">
        <f>IFERROR(__xludf.DUMMYFUNCTION("""COMPUTED_VALUE"""),"Haitei + Yakuhai Wind")</f>
        <v>Haitei + Yakuhai Wind</v>
      </c>
      <c r="B47" s="2">
        <f>IFERROR(__xludf.DUMMYFUNCTION("""COMPUTED_VALUE"""),5281.0)</f>
        <v>5281</v>
      </c>
      <c r="C47" s="2" t="str">
        <f>IFERROR(__xludf.DUMMYFUNCTION("""COMPUTED_VALUE"""),"Haitei")</f>
        <v>Haitei</v>
      </c>
      <c r="D47" s="2" t="str">
        <f>IFERROR(__xludf.DUMMYFUNCTION("""COMPUTED_VALUE"""),"Yakuhai Wind")</f>
        <v>Yakuhai Wind</v>
      </c>
    </row>
    <row r="48">
      <c r="A48" s="2" t="str">
        <f>IFERROR(__xludf.DUMMYFUNCTION("""COMPUTED_VALUE"""),"Rinshan + Tanyao")</f>
        <v>Rinshan + Tanyao</v>
      </c>
      <c r="B48" s="2">
        <f>IFERROR(__xludf.DUMMYFUNCTION("""COMPUTED_VALUE"""),4965.0)</f>
        <v>4965</v>
      </c>
      <c r="C48" s="2" t="str">
        <f>IFERROR(__xludf.DUMMYFUNCTION("""COMPUTED_VALUE"""),"Rinshan")</f>
        <v>Rinshan</v>
      </c>
      <c r="D48" s="2" t="str">
        <f>IFERROR(__xludf.DUMMYFUNCTION("""COMPUTED_VALUE"""),"Tanyao")</f>
        <v>Tanyao</v>
      </c>
    </row>
    <row r="49">
      <c r="A49" s="2" t="str">
        <f>IFERROR(__xludf.DUMMYFUNCTION("""COMPUTED_VALUE"""),"Houtei + Yakuhai Wind")</f>
        <v>Houtei + Yakuhai Wind</v>
      </c>
      <c r="B49" s="2">
        <f>IFERROR(__xludf.DUMMYFUNCTION("""COMPUTED_VALUE"""),4338.0)</f>
        <v>4338</v>
      </c>
      <c r="C49" s="2" t="str">
        <f>IFERROR(__xludf.DUMMYFUNCTION("""COMPUTED_VALUE"""),"Houtei")</f>
        <v>Houtei</v>
      </c>
      <c r="D49" s="2" t="str">
        <f>IFERROR(__xludf.DUMMYFUNCTION("""COMPUTED_VALUE"""),"Yakuhai Wind")</f>
        <v>Yakuhai Wind</v>
      </c>
    </row>
    <row r="50">
      <c r="A50" s="2" t="str">
        <f>IFERROR(__xludf.DUMMYFUNCTION("""COMPUTED_VALUE"""),"Shousangen + Honitsu")</f>
        <v>Shousangen + Honitsu</v>
      </c>
      <c r="B50" s="2">
        <f>IFERROR(__xludf.DUMMYFUNCTION("""COMPUTED_VALUE"""),4156.0)</f>
        <v>4156</v>
      </c>
      <c r="C50" s="2" t="str">
        <f>IFERROR(__xludf.DUMMYFUNCTION("""COMPUTED_VALUE"""),"Shousangen")</f>
        <v>Shousangen</v>
      </c>
      <c r="D50" s="2" t="str">
        <f>IFERROR(__xludf.DUMMYFUNCTION("""COMPUTED_VALUE"""),"Honitsu")</f>
        <v>Honitsu</v>
      </c>
    </row>
    <row r="51">
      <c r="A51" s="2" t="str">
        <f>IFERROR(__xludf.DUMMYFUNCTION("""COMPUTED_VALUE"""),"Sanankou + Honitsu")</f>
        <v>Sanankou + Honitsu</v>
      </c>
      <c r="B51" s="2">
        <f>IFERROR(__xludf.DUMMYFUNCTION("""COMPUTED_VALUE"""),3933.0)</f>
        <v>3933</v>
      </c>
      <c r="C51" s="2" t="str">
        <f>IFERROR(__xludf.DUMMYFUNCTION("""COMPUTED_VALUE"""),"Sanankou")</f>
        <v>Sanankou</v>
      </c>
      <c r="D51" s="2" t="str">
        <f>IFERROR(__xludf.DUMMYFUNCTION("""COMPUTED_VALUE"""),"Honitsu")</f>
        <v>Honitsu</v>
      </c>
    </row>
    <row r="52">
      <c r="A52" s="2" t="str">
        <f>IFERROR(__xludf.DUMMYFUNCTION("""COMPUTED_VALUE"""),"Double Riichi + Pinfu")</f>
        <v>Double Riichi + Pinfu</v>
      </c>
      <c r="B52" s="2">
        <f>IFERROR(__xludf.DUMMYFUNCTION("""COMPUTED_VALUE"""),3868.0)</f>
        <v>3868</v>
      </c>
      <c r="C52" s="2" t="str">
        <f>IFERROR(__xludf.DUMMYFUNCTION("""COMPUTED_VALUE"""),"Double Riichi")</f>
        <v>Double Riichi</v>
      </c>
      <c r="D52" s="2" t="str">
        <f>IFERROR(__xludf.DUMMYFUNCTION("""COMPUTED_VALUE"""),"Pinfu")</f>
        <v>Pinfu</v>
      </c>
    </row>
    <row r="53">
      <c r="A53" s="2" t="str">
        <f>IFERROR(__xludf.DUMMYFUNCTION("""COMPUTED_VALUE"""),"Itsu + Chinitsu")</f>
        <v>Itsu + Chinitsu</v>
      </c>
      <c r="B53" s="2">
        <f>IFERROR(__xludf.DUMMYFUNCTION("""COMPUTED_VALUE"""),3618.0)</f>
        <v>3618</v>
      </c>
      <c r="C53" s="2" t="str">
        <f>IFERROR(__xludf.DUMMYFUNCTION("""COMPUTED_VALUE"""),"Itsu")</f>
        <v>Itsu</v>
      </c>
      <c r="D53" s="2" t="str">
        <f>IFERROR(__xludf.DUMMYFUNCTION("""COMPUTED_VALUE"""),"Chinitsu")</f>
        <v>Chinitsu</v>
      </c>
    </row>
    <row r="54">
      <c r="A54" s="2" t="str">
        <f>IFERROR(__xludf.DUMMYFUNCTION("""COMPUTED_VALUE"""),"Toitoi + Honroutou")</f>
        <v>Toitoi + Honroutou</v>
      </c>
      <c r="B54" s="2">
        <f>IFERROR(__xludf.DUMMYFUNCTION("""COMPUTED_VALUE"""),2807.0)</f>
        <v>2807</v>
      </c>
      <c r="C54" s="2" t="str">
        <f>IFERROR(__xludf.DUMMYFUNCTION("""COMPUTED_VALUE"""),"Toitoi")</f>
        <v>Toitoi</v>
      </c>
      <c r="D54" s="2" t="str">
        <f>IFERROR(__xludf.DUMMYFUNCTION("""COMPUTED_VALUE"""),"Honroutou")</f>
        <v>Honroutou</v>
      </c>
    </row>
    <row r="55">
      <c r="A55" s="2" t="str">
        <f>IFERROR(__xludf.DUMMYFUNCTION("""COMPUTED_VALUE"""),"Double Riichi + Chiitoitsu")</f>
        <v>Double Riichi + Chiitoitsu</v>
      </c>
      <c r="B55" s="2">
        <f>IFERROR(__xludf.DUMMYFUNCTION("""COMPUTED_VALUE"""),2727.0)</f>
        <v>2727</v>
      </c>
      <c r="C55" s="2" t="str">
        <f>IFERROR(__xludf.DUMMYFUNCTION("""COMPUTED_VALUE"""),"Double Riichi")</f>
        <v>Double Riichi</v>
      </c>
      <c r="D55" s="2" t="str">
        <f>IFERROR(__xludf.DUMMYFUNCTION("""COMPUTED_VALUE"""),"Chiitoitsu")</f>
        <v>Chiitoitsu</v>
      </c>
    </row>
    <row r="56">
      <c r="A56" s="2" t="str">
        <f>IFERROR(__xludf.DUMMYFUNCTION("""COMPUTED_VALUE"""),"Yakuhai Dragon + Honroutou")</f>
        <v>Yakuhai Dragon + Honroutou</v>
      </c>
      <c r="B56" s="2">
        <f>IFERROR(__xludf.DUMMYFUNCTION("""COMPUTED_VALUE"""),2514.0)</f>
        <v>2514</v>
      </c>
      <c r="C56" s="2" t="str">
        <f>IFERROR(__xludf.DUMMYFUNCTION("""COMPUTED_VALUE"""),"Yakuhai Dragon")</f>
        <v>Yakuhai Dragon</v>
      </c>
      <c r="D56" s="2" t="str">
        <f>IFERROR(__xludf.DUMMYFUNCTION("""COMPUTED_VALUE"""),"Honroutou")</f>
        <v>Honroutou</v>
      </c>
    </row>
    <row r="57">
      <c r="A57" s="2" t="str">
        <f>IFERROR(__xludf.DUMMYFUNCTION("""COMPUTED_VALUE"""),"Iipeikou + Chinitsu")</f>
        <v>Iipeikou + Chinitsu</v>
      </c>
      <c r="B57" s="2">
        <f>IFERROR(__xludf.DUMMYFUNCTION("""COMPUTED_VALUE"""),2502.0)</f>
        <v>2502</v>
      </c>
      <c r="C57" s="2" t="str">
        <f>IFERROR(__xludf.DUMMYFUNCTION("""COMPUTED_VALUE"""),"Iipeikou")</f>
        <v>Iipeikou</v>
      </c>
      <c r="D57" s="2" t="str">
        <f>IFERROR(__xludf.DUMMYFUNCTION("""COMPUTED_VALUE"""),"Chinitsu")</f>
        <v>Chinitsu</v>
      </c>
    </row>
    <row r="58">
      <c r="A58" s="2" t="str">
        <f>IFERROR(__xludf.DUMMYFUNCTION("""COMPUTED_VALUE"""),"Rinshan + Honitsu")</f>
        <v>Rinshan + Honitsu</v>
      </c>
      <c r="B58" s="2">
        <f>IFERROR(__xludf.DUMMYFUNCTION("""COMPUTED_VALUE"""),2338.0)</f>
        <v>2338</v>
      </c>
      <c r="C58" s="2" t="str">
        <f>IFERROR(__xludf.DUMMYFUNCTION("""COMPUTED_VALUE"""),"Rinshan")</f>
        <v>Rinshan</v>
      </c>
      <c r="D58" s="2" t="str">
        <f>IFERROR(__xludf.DUMMYFUNCTION("""COMPUTED_VALUE"""),"Honitsu")</f>
        <v>Honitsu</v>
      </c>
    </row>
    <row r="59">
      <c r="A59" s="2" t="str">
        <f>IFERROR(__xludf.DUMMYFUNCTION("""COMPUTED_VALUE"""),"Haitei + Honitsu")</f>
        <v>Haitei + Honitsu</v>
      </c>
      <c r="B59" s="2">
        <f>IFERROR(__xludf.DUMMYFUNCTION("""COMPUTED_VALUE"""),2216.0)</f>
        <v>2216</v>
      </c>
      <c r="C59" s="2" t="str">
        <f>IFERROR(__xludf.DUMMYFUNCTION("""COMPUTED_VALUE"""),"Haitei")</f>
        <v>Haitei</v>
      </c>
      <c r="D59" s="2" t="str">
        <f>IFERROR(__xludf.DUMMYFUNCTION("""COMPUTED_VALUE"""),"Honitsu")</f>
        <v>Honitsu</v>
      </c>
    </row>
    <row r="60">
      <c r="A60" s="2" t="str">
        <f>IFERROR(__xludf.DUMMYFUNCTION("""COMPUTED_VALUE"""),"Haitei + Iipeikou")</f>
        <v>Haitei + Iipeikou</v>
      </c>
      <c r="B60" s="2">
        <f>IFERROR(__xludf.DUMMYFUNCTION("""COMPUTED_VALUE"""),2114.0)</f>
        <v>2114</v>
      </c>
      <c r="C60" s="2" t="str">
        <f>IFERROR(__xludf.DUMMYFUNCTION("""COMPUTED_VALUE"""),"Haitei")</f>
        <v>Haitei</v>
      </c>
      <c r="D60" s="2" t="str">
        <f>IFERROR(__xludf.DUMMYFUNCTION("""COMPUTED_VALUE"""),"Iipeikou")</f>
        <v>Iipeikou</v>
      </c>
    </row>
    <row r="61">
      <c r="A61" s="2" t="str">
        <f>IFERROR(__xludf.DUMMYFUNCTION("""COMPUTED_VALUE"""),"Pinfu + Ryanpeikou")</f>
        <v>Pinfu + Ryanpeikou</v>
      </c>
      <c r="B61" s="2">
        <f>IFERROR(__xludf.DUMMYFUNCTION("""COMPUTED_VALUE"""),2077.0)</f>
        <v>2077</v>
      </c>
      <c r="C61" s="2" t="str">
        <f>IFERROR(__xludf.DUMMYFUNCTION("""COMPUTED_VALUE"""),"Pinfu")</f>
        <v>Pinfu</v>
      </c>
      <c r="D61" s="2" t="str">
        <f>IFERROR(__xludf.DUMMYFUNCTION("""COMPUTED_VALUE"""),"Ryanpeikou")</f>
        <v>Ryanpeikou</v>
      </c>
    </row>
    <row r="62">
      <c r="A62" s="2" t="str">
        <f>IFERROR(__xludf.DUMMYFUNCTION("""COMPUTED_VALUE"""),"Tanyao + Chinitsu")</f>
        <v>Tanyao + Chinitsu</v>
      </c>
      <c r="B62" s="2">
        <f>IFERROR(__xludf.DUMMYFUNCTION("""COMPUTED_VALUE"""),2040.0)</f>
        <v>2040</v>
      </c>
      <c r="C62" s="2" t="str">
        <f>IFERROR(__xludf.DUMMYFUNCTION("""COMPUTED_VALUE"""),"Tanyao")</f>
        <v>Tanyao</v>
      </c>
      <c r="D62" s="2" t="str">
        <f>IFERROR(__xludf.DUMMYFUNCTION("""COMPUTED_VALUE"""),"Chinitsu")</f>
        <v>Chinitsu</v>
      </c>
    </row>
    <row r="63">
      <c r="A63" s="2" t="str">
        <f>IFERROR(__xludf.DUMMYFUNCTION("""COMPUTED_VALUE"""),"Pinfu + Junchan")</f>
        <v>Pinfu + Junchan</v>
      </c>
      <c r="B63" s="2">
        <f>IFERROR(__xludf.DUMMYFUNCTION("""COMPUTED_VALUE"""),2027.0)</f>
        <v>2027</v>
      </c>
      <c r="C63" s="2" t="str">
        <f>IFERROR(__xludf.DUMMYFUNCTION("""COMPUTED_VALUE"""),"Pinfu")</f>
        <v>Pinfu</v>
      </c>
      <c r="D63" s="2" t="str">
        <f>IFERROR(__xludf.DUMMYFUNCTION("""COMPUTED_VALUE"""),"Junchan")</f>
        <v>Junchan</v>
      </c>
    </row>
    <row r="64">
      <c r="A64" s="2" t="str">
        <f>IFERROR(__xludf.DUMMYFUNCTION("""COMPUTED_VALUE"""),"Iipeikou + Chanta")</f>
        <v>Iipeikou + Chanta</v>
      </c>
      <c r="B64" s="2">
        <f>IFERROR(__xludf.DUMMYFUNCTION("""COMPUTED_VALUE"""),1902.0)</f>
        <v>1902</v>
      </c>
      <c r="C64" s="2" t="str">
        <f>IFERROR(__xludf.DUMMYFUNCTION("""COMPUTED_VALUE"""),"Iipeikou")</f>
        <v>Iipeikou</v>
      </c>
      <c r="D64" s="2" t="str">
        <f>IFERROR(__xludf.DUMMYFUNCTION("""COMPUTED_VALUE"""),"Chanta")</f>
        <v>Chanta</v>
      </c>
    </row>
    <row r="65">
      <c r="A65" s="2" t="str">
        <f>IFERROR(__xludf.DUMMYFUNCTION("""COMPUTED_VALUE"""),"Houtei + Iipeikou")</f>
        <v>Houtei + Iipeikou</v>
      </c>
      <c r="B65" s="2">
        <f>IFERROR(__xludf.DUMMYFUNCTION("""COMPUTED_VALUE"""),1884.0)</f>
        <v>1884</v>
      </c>
      <c r="C65" s="2" t="str">
        <f>IFERROR(__xludf.DUMMYFUNCTION("""COMPUTED_VALUE"""),"Houtei")</f>
        <v>Houtei</v>
      </c>
      <c r="D65" s="2" t="str">
        <f>IFERROR(__xludf.DUMMYFUNCTION("""COMPUTED_VALUE"""),"Iipeikou")</f>
        <v>Iipeikou</v>
      </c>
    </row>
    <row r="66">
      <c r="A66" s="2" t="str">
        <f>IFERROR(__xludf.DUMMYFUNCTION("""COMPUTED_VALUE"""),"Pinfu + Chinitsu")</f>
        <v>Pinfu + Chinitsu</v>
      </c>
      <c r="B66" s="2">
        <f>IFERROR(__xludf.DUMMYFUNCTION("""COMPUTED_VALUE"""),1852.0)</f>
        <v>1852</v>
      </c>
      <c r="C66" s="2" t="str">
        <f>IFERROR(__xludf.DUMMYFUNCTION("""COMPUTED_VALUE"""),"Pinfu")</f>
        <v>Pinfu</v>
      </c>
      <c r="D66" s="2" t="str">
        <f>IFERROR(__xludf.DUMMYFUNCTION("""COMPUTED_VALUE"""),"Chinitsu")</f>
        <v>Chinitsu</v>
      </c>
    </row>
    <row r="67">
      <c r="A67" s="2" t="str">
        <f>IFERROR(__xludf.DUMMYFUNCTION("""COMPUTED_VALUE"""),"Iipeikou + Junchan")</f>
        <v>Iipeikou + Junchan</v>
      </c>
      <c r="B67" s="2">
        <f>IFERROR(__xludf.DUMMYFUNCTION("""COMPUTED_VALUE"""),1701.0)</f>
        <v>1701</v>
      </c>
      <c r="C67" s="2" t="str">
        <f>IFERROR(__xludf.DUMMYFUNCTION("""COMPUTED_VALUE"""),"Iipeikou")</f>
        <v>Iipeikou</v>
      </c>
      <c r="D67" s="2" t="str">
        <f>IFERROR(__xludf.DUMMYFUNCTION("""COMPUTED_VALUE"""),"Junchan")</f>
        <v>Junchan</v>
      </c>
    </row>
    <row r="68">
      <c r="A68" s="2" t="str">
        <f>IFERROR(__xludf.DUMMYFUNCTION("""COMPUTED_VALUE"""),"Haitei + Doujun")</f>
        <v>Haitei + Doujun</v>
      </c>
      <c r="B68" s="2">
        <f>IFERROR(__xludf.DUMMYFUNCTION("""COMPUTED_VALUE"""),1634.0)</f>
        <v>1634</v>
      </c>
      <c r="C68" s="2" t="str">
        <f>IFERROR(__xludf.DUMMYFUNCTION("""COMPUTED_VALUE"""),"Haitei")</f>
        <v>Haitei</v>
      </c>
      <c r="D68" s="2" t="str">
        <f>IFERROR(__xludf.DUMMYFUNCTION("""COMPUTED_VALUE"""),"Doujun")</f>
        <v>Doujun</v>
      </c>
    </row>
    <row r="69">
      <c r="A69" s="2" t="str">
        <f>IFERROR(__xludf.DUMMYFUNCTION("""COMPUTED_VALUE"""),"Houtei + Doujun")</f>
        <v>Houtei + Doujun</v>
      </c>
      <c r="B69" s="2">
        <f>IFERROR(__xludf.DUMMYFUNCTION("""COMPUTED_VALUE"""),1632.0)</f>
        <v>1632</v>
      </c>
      <c r="C69" s="2" t="str">
        <f>IFERROR(__xludf.DUMMYFUNCTION("""COMPUTED_VALUE"""),"Houtei")</f>
        <v>Houtei</v>
      </c>
      <c r="D69" s="2" t="str">
        <f>IFERROR(__xludf.DUMMYFUNCTION("""COMPUTED_VALUE"""),"Doujun")</f>
        <v>Doujun</v>
      </c>
    </row>
    <row r="70">
      <c r="A70" s="2" t="str">
        <f>IFERROR(__xludf.DUMMYFUNCTION("""COMPUTED_VALUE"""),"Houtei + Chiitoitsu")</f>
        <v>Houtei + Chiitoitsu</v>
      </c>
      <c r="B70" s="2">
        <f>IFERROR(__xludf.DUMMYFUNCTION("""COMPUTED_VALUE"""),1607.0)</f>
        <v>1607</v>
      </c>
      <c r="C70" s="2" t="str">
        <f>IFERROR(__xludf.DUMMYFUNCTION("""COMPUTED_VALUE"""),"Houtei")</f>
        <v>Houtei</v>
      </c>
      <c r="D70" s="2" t="str">
        <f>IFERROR(__xludf.DUMMYFUNCTION("""COMPUTED_VALUE"""),"Chiitoitsu")</f>
        <v>Chiitoitsu</v>
      </c>
    </row>
    <row r="71">
      <c r="A71" s="2" t="str">
        <f>IFERROR(__xludf.DUMMYFUNCTION("""COMPUTED_VALUE"""),"Yakuhai Wind + Honroutou")</f>
        <v>Yakuhai Wind + Honroutou</v>
      </c>
      <c r="B71" s="2">
        <f>IFERROR(__xludf.DUMMYFUNCTION("""COMPUTED_VALUE"""),1607.0)</f>
        <v>1607</v>
      </c>
      <c r="C71" s="2" t="str">
        <f>IFERROR(__xludf.DUMMYFUNCTION("""COMPUTED_VALUE"""),"Yakuhai Wind")</f>
        <v>Yakuhai Wind</v>
      </c>
      <c r="D71" s="2" t="str">
        <f>IFERROR(__xludf.DUMMYFUNCTION("""COMPUTED_VALUE"""),"Honroutou")</f>
        <v>Honroutou</v>
      </c>
    </row>
    <row r="72">
      <c r="A72" s="2" t="str">
        <f>IFERROR(__xludf.DUMMYFUNCTION("""COMPUTED_VALUE"""),"Iipeikou + Itsu")</f>
        <v>Iipeikou + Itsu</v>
      </c>
      <c r="B72" s="2">
        <f>IFERROR(__xludf.DUMMYFUNCTION("""COMPUTED_VALUE"""),1552.0)</f>
        <v>1552</v>
      </c>
      <c r="C72" s="2" t="str">
        <f>IFERROR(__xludf.DUMMYFUNCTION("""COMPUTED_VALUE"""),"Iipeikou")</f>
        <v>Iipeikou</v>
      </c>
      <c r="D72" s="2" t="str">
        <f>IFERROR(__xludf.DUMMYFUNCTION("""COMPUTED_VALUE"""),"Itsu")</f>
        <v>Itsu</v>
      </c>
    </row>
    <row r="73">
      <c r="A73" s="2" t="str">
        <f>IFERROR(__xludf.DUMMYFUNCTION("""COMPUTED_VALUE"""),"Houtei + Honitsu")</f>
        <v>Houtei + Honitsu</v>
      </c>
      <c r="B73" s="2">
        <f>IFERROR(__xludf.DUMMYFUNCTION("""COMPUTED_VALUE"""),1548.0)</f>
        <v>1548</v>
      </c>
      <c r="C73" s="2" t="str">
        <f>IFERROR(__xludf.DUMMYFUNCTION("""COMPUTED_VALUE"""),"Houtei")</f>
        <v>Houtei</v>
      </c>
      <c r="D73" s="2" t="str">
        <f>IFERROR(__xludf.DUMMYFUNCTION("""COMPUTED_VALUE"""),"Honitsu")</f>
        <v>Honitsu</v>
      </c>
    </row>
    <row r="74">
      <c r="A74" s="2" t="str">
        <f>IFERROR(__xludf.DUMMYFUNCTION("""COMPUTED_VALUE"""),"Ryanpeikou + Tanyao")</f>
        <v>Ryanpeikou + Tanyao</v>
      </c>
      <c r="B74" s="2">
        <f>IFERROR(__xludf.DUMMYFUNCTION("""COMPUTED_VALUE"""),1432.0)</f>
        <v>1432</v>
      </c>
      <c r="C74" s="2" t="str">
        <f>IFERROR(__xludf.DUMMYFUNCTION("""COMPUTED_VALUE"""),"Ryanpeikou")</f>
        <v>Ryanpeikou</v>
      </c>
      <c r="D74" s="2" t="str">
        <f>IFERROR(__xludf.DUMMYFUNCTION("""COMPUTED_VALUE"""),"Tanyao")</f>
        <v>Tanyao</v>
      </c>
    </row>
    <row r="75">
      <c r="A75" s="2" t="str">
        <f>IFERROR(__xludf.DUMMYFUNCTION("""COMPUTED_VALUE"""),"Toitoi + Doukou")</f>
        <v>Toitoi + Doukou</v>
      </c>
      <c r="B75" s="2">
        <f>IFERROR(__xludf.DUMMYFUNCTION("""COMPUTED_VALUE"""),1404.0)</f>
        <v>1404</v>
      </c>
      <c r="C75" s="2" t="str">
        <f>IFERROR(__xludf.DUMMYFUNCTION("""COMPUTED_VALUE"""),"Toitoi")</f>
        <v>Toitoi</v>
      </c>
      <c r="D75" s="2" t="str">
        <f>IFERROR(__xludf.DUMMYFUNCTION("""COMPUTED_VALUE"""),"Doukou")</f>
        <v>Doukou</v>
      </c>
    </row>
    <row r="76">
      <c r="A76" s="2" t="str">
        <f>IFERROR(__xludf.DUMMYFUNCTION("""COMPUTED_VALUE"""),"Double Riichi + Yakuhai Dragon")</f>
        <v>Double Riichi + Yakuhai Dragon</v>
      </c>
      <c r="B76" s="2">
        <f>IFERROR(__xludf.DUMMYFUNCTION("""COMPUTED_VALUE"""),1354.0)</f>
        <v>1354</v>
      </c>
      <c r="C76" s="2" t="str">
        <f>IFERROR(__xludf.DUMMYFUNCTION("""COMPUTED_VALUE"""),"Double Riichi")</f>
        <v>Double Riichi</v>
      </c>
      <c r="D76" s="2" t="str">
        <f>IFERROR(__xludf.DUMMYFUNCTION("""COMPUTED_VALUE"""),"Yakuhai Dragon")</f>
        <v>Yakuhai Dragon</v>
      </c>
    </row>
    <row r="77">
      <c r="A77" s="2" t="str">
        <f>IFERROR(__xludf.DUMMYFUNCTION("""COMPUTED_VALUE"""),"Haitei + Chiitoitsu")</f>
        <v>Haitei + Chiitoitsu</v>
      </c>
      <c r="B77" s="2">
        <f>IFERROR(__xludf.DUMMYFUNCTION("""COMPUTED_VALUE"""),1348.0)</f>
        <v>1348</v>
      </c>
      <c r="C77" s="2" t="str">
        <f>IFERROR(__xludf.DUMMYFUNCTION("""COMPUTED_VALUE"""),"Haitei")</f>
        <v>Haitei</v>
      </c>
      <c r="D77" s="2" t="str">
        <f>IFERROR(__xludf.DUMMYFUNCTION("""COMPUTED_VALUE"""),"Chiitoitsu")</f>
        <v>Chiitoitsu</v>
      </c>
    </row>
    <row r="78">
      <c r="A78" s="2" t="str">
        <f>IFERROR(__xludf.DUMMYFUNCTION("""COMPUTED_VALUE"""),"Rinshan + Toitoi")</f>
        <v>Rinshan + Toitoi</v>
      </c>
      <c r="B78" s="2">
        <f>IFERROR(__xludf.DUMMYFUNCTION("""COMPUTED_VALUE"""),1308.0)</f>
        <v>1308</v>
      </c>
      <c r="C78" s="2" t="str">
        <f>IFERROR(__xludf.DUMMYFUNCTION("""COMPUTED_VALUE"""),"Rinshan")</f>
        <v>Rinshan</v>
      </c>
      <c r="D78" s="2" t="str">
        <f>IFERROR(__xludf.DUMMYFUNCTION("""COMPUTED_VALUE"""),"Toitoi")</f>
        <v>Toitoi</v>
      </c>
    </row>
    <row r="79">
      <c r="A79" s="2" t="str">
        <f>IFERROR(__xludf.DUMMYFUNCTION("""COMPUTED_VALUE"""),"Double Riichi + Tanyao")</f>
        <v>Double Riichi + Tanyao</v>
      </c>
      <c r="B79" s="2">
        <f>IFERROR(__xludf.DUMMYFUNCTION("""COMPUTED_VALUE"""),1253.0)</f>
        <v>1253</v>
      </c>
      <c r="C79" s="2" t="str">
        <f>IFERROR(__xludf.DUMMYFUNCTION("""COMPUTED_VALUE"""),"Double Riichi")</f>
        <v>Double Riichi</v>
      </c>
      <c r="D79" s="2" t="str">
        <f>IFERROR(__xludf.DUMMYFUNCTION("""COMPUTED_VALUE"""),"Tanyao")</f>
        <v>Tanyao</v>
      </c>
    </row>
    <row r="80">
      <c r="A80" s="2" t="str">
        <f>IFERROR(__xludf.DUMMYFUNCTION("""COMPUTED_VALUE"""),"Pinfu + Honitsu")</f>
        <v>Pinfu + Honitsu</v>
      </c>
      <c r="B80" s="2">
        <f>IFERROR(__xludf.DUMMYFUNCTION("""COMPUTED_VALUE"""),1069.0)</f>
        <v>1069</v>
      </c>
      <c r="C80" s="2" t="str">
        <f>IFERROR(__xludf.DUMMYFUNCTION("""COMPUTED_VALUE"""),"Pinfu")</f>
        <v>Pinfu</v>
      </c>
      <c r="D80" s="2" t="str">
        <f>IFERROR(__xludf.DUMMYFUNCTION("""COMPUTED_VALUE"""),"Honitsu")</f>
        <v>Honitsu</v>
      </c>
    </row>
    <row r="81">
      <c r="A81" s="2" t="str">
        <f>IFERROR(__xludf.DUMMYFUNCTION("""COMPUTED_VALUE"""),"Doukou + Tanyao")</f>
        <v>Doukou + Tanyao</v>
      </c>
      <c r="B81" s="2">
        <f>IFERROR(__xludf.DUMMYFUNCTION("""COMPUTED_VALUE"""),1067.0)</f>
        <v>1067</v>
      </c>
      <c r="C81" s="2" t="str">
        <f>IFERROR(__xludf.DUMMYFUNCTION("""COMPUTED_VALUE"""),"Doukou")</f>
        <v>Doukou</v>
      </c>
      <c r="D81" s="2" t="str">
        <f>IFERROR(__xludf.DUMMYFUNCTION("""COMPUTED_VALUE"""),"Tanyao")</f>
        <v>Tanyao</v>
      </c>
    </row>
    <row r="82">
      <c r="A82" s="2" t="str">
        <f>IFERROR(__xludf.DUMMYFUNCTION("""COMPUTED_VALUE"""),"Toitoi + Chinitsu")</f>
        <v>Toitoi + Chinitsu</v>
      </c>
      <c r="B82" s="2">
        <f>IFERROR(__xludf.DUMMYFUNCTION("""COMPUTED_VALUE"""),1031.0)</f>
        <v>1031</v>
      </c>
      <c r="C82" s="2" t="str">
        <f>IFERROR(__xludf.DUMMYFUNCTION("""COMPUTED_VALUE"""),"Toitoi")</f>
        <v>Toitoi</v>
      </c>
      <c r="D82" s="2" t="str">
        <f>IFERROR(__xludf.DUMMYFUNCTION("""COMPUTED_VALUE"""),"Chinitsu")</f>
        <v>Chinitsu</v>
      </c>
    </row>
    <row r="83">
      <c r="A83" s="2" t="str">
        <f>IFERROR(__xludf.DUMMYFUNCTION("""COMPUTED_VALUE"""),"Rinshan + Sanankou")</f>
        <v>Rinshan + Sanankou</v>
      </c>
      <c r="B83" s="2">
        <f>IFERROR(__xludf.DUMMYFUNCTION("""COMPUTED_VALUE"""),915.0)</f>
        <v>915</v>
      </c>
      <c r="C83" s="2" t="str">
        <f>IFERROR(__xludf.DUMMYFUNCTION("""COMPUTED_VALUE"""),"Rinshan")</f>
        <v>Rinshan</v>
      </c>
      <c r="D83" s="2" t="str">
        <f>IFERROR(__xludf.DUMMYFUNCTION("""COMPUTED_VALUE"""),"Sanankou")</f>
        <v>Sanankou</v>
      </c>
    </row>
    <row r="84">
      <c r="A84" s="2" t="str">
        <f>IFERROR(__xludf.DUMMYFUNCTION("""COMPUTED_VALUE"""),"Double Riichi + Yakuhai Wind")</f>
        <v>Double Riichi + Yakuhai Wind</v>
      </c>
      <c r="B84" s="2">
        <f>IFERROR(__xludf.DUMMYFUNCTION("""COMPUTED_VALUE"""),893.0)</f>
        <v>893</v>
      </c>
      <c r="C84" s="2" t="str">
        <f>IFERROR(__xludf.DUMMYFUNCTION("""COMPUTED_VALUE"""),"Double Riichi")</f>
        <v>Double Riichi</v>
      </c>
      <c r="D84" s="2" t="str">
        <f>IFERROR(__xludf.DUMMYFUNCTION("""COMPUTED_VALUE"""),"Yakuhai Wind")</f>
        <v>Yakuhai Wind</v>
      </c>
    </row>
    <row r="85">
      <c r="A85" s="2" t="str">
        <f>IFERROR(__xludf.DUMMYFUNCTION("""COMPUTED_VALUE"""),"Honroutou + Honitsu")</f>
        <v>Honroutou + Honitsu</v>
      </c>
      <c r="B85" s="2">
        <f>IFERROR(__xludf.DUMMYFUNCTION("""COMPUTED_VALUE"""),857.0)</f>
        <v>857</v>
      </c>
      <c r="C85" s="2" t="str">
        <f>IFERROR(__xludf.DUMMYFUNCTION("""COMPUTED_VALUE"""),"Honroutou")</f>
        <v>Honroutou</v>
      </c>
      <c r="D85" s="2" t="str">
        <f>IFERROR(__xludf.DUMMYFUNCTION("""COMPUTED_VALUE"""),"Honitsu")</f>
        <v>Honitsu</v>
      </c>
    </row>
    <row r="86">
      <c r="A86" s="2" t="str">
        <f>IFERROR(__xludf.DUMMYFUNCTION("""COMPUTED_VALUE"""),"Houtei + Toitoi")</f>
        <v>Houtei + Toitoi</v>
      </c>
      <c r="B86" s="2">
        <f>IFERROR(__xludf.DUMMYFUNCTION("""COMPUTED_VALUE"""),846.0)</f>
        <v>846</v>
      </c>
      <c r="C86" s="2" t="str">
        <f>IFERROR(__xludf.DUMMYFUNCTION("""COMPUTED_VALUE"""),"Houtei")</f>
        <v>Houtei</v>
      </c>
      <c r="D86" s="2" t="str">
        <f>IFERROR(__xludf.DUMMYFUNCTION("""COMPUTED_VALUE"""),"Toitoi")</f>
        <v>Toitoi</v>
      </c>
    </row>
    <row r="87">
      <c r="A87" s="2" t="str">
        <f>IFERROR(__xludf.DUMMYFUNCTION("""COMPUTED_VALUE"""),"Pinfu + Chanta")</f>
        <v>Pinfu + Chanta</v>
      </c>
      <c r="B87" s="2">
        <f>IFERROR(__xludf.DUMMYFUNCTION("""COMPUTED_VALUE"""),845.0)</f>
        <v>845</v>
      </c>
      <c r="C87" s="2" t="str">
        <f>IFERROR(__xludf.DUMMYFUNCTION("""COMPUTED_VALUE"""),"Pinfu")</f>
        <v>Pinfu</v>
      </c>
      <c r="D87" s="2" t="str">
        <f>IFERROR(__xludf.DUMMYFUNCTION("""COMPUTED_VALUE"""),"Chanta")</f>
        <v>Chanta</v>
      </c>
    </row>
    <row r="88">
      <c r="A88" s="2" t="str">
        <f>IFERROR(__xludf.DUMMYFUNCTION("""COMPUTED_VALUE"""),"Haitei + Toitoi")</f>
        <v>Haitei + Toitoi</v>
      </c>
      <c r="B88" s="2">
        <f>IFERROR(__xludf.DUMMYFUNCTION("""COMPUTED_VALUE"""),843.0)</f>
        <v>843</v>
      </c>
      <c r="C88" s="2" t="str">
        <f>IFERROR(__xludf.DUMMYFUNCTION("""COMPUTED_VALUE"""),"Haitei")</f>
        <v>Haitei</v>
      </c>
      <c r="D88" s="2" t="str">
        <f>IFERROR(__xludf.DUMMYFUNCTION("""COMPUTED_VALUE"""),"Toitoi")</f>
        <v>Toitoi</v>
      </c>
    </row>
    <row r="89">
      <c r="A89" s="2" t="str">
        <f>IFERROR(__xludf.DUMMYFUNCTION("""COMPUTED_VALUE"""),"Shousangen + Chanta")</f>
        <v>Shousangen + Chanta</v>
      </c>
      <c r="B89" s="2">
        <f>IFERROR(__xludf.DUMMYFUNCTION("""COMPUTED_VALUE"""),817.0)</f>
        <v>817</v>
      </c>
      <c r="C89" s="2" t="str">
        <f>IFERROR(__xludf.DUMMYFUNCTION("""COMPUTED_VALUE"""),"Shousangen")</f>
        <v>Shousangen</v>
      </c>
      <c r="D89" s="2" t="str">
        <f>IFERROR(__xludf.DUMMYFUNCTION("""COMPUTED_VALUE"""),"Chanta")</f>
        <v>Chanta</v>
      </c>
    </row>
    <row r="90">
      <c r="A90" s="2" t="str">
        <f>IFERROR(__xludf.DUMMYFUNCTION("""COMPUTED_VALUE"""),"Double Riichi + Iipeikou")</f>
        <v>Double Riichi + Iipeikou</v>
      </c>
      <c r="B90" s="2">
        <f>IFERROR(__xludf.DUMMYFUNCTION("""COMPUTED_VALUE"""),785.0)</f>
        <v>785</v>
      </c>
      <c r="C90" s="2" t="str">
        <f>IFERROR(__xludf.DUMMYFUNCTION("""COMPUTED_VALUE"""),"Double Riichi")</f>
        <v>Double Riichi</v>
      </c>
      <c r="D90" s="2" t="str">
        <f>IFERROR(__xludf.DUMMYFUNCTION("""COMPUTED_VALUE"""),"Iipeikou")</f>
        <v>Iipeikou</v>
      </c>
    </row>
    <row r="91">
      <c r="A91" s="2" t="str">
        <f>IFERROR(__xludf.DUMMYFUNCTION("""COMPUTED_VALUE"""),"Haitei + Sanankou")</f>
        <v>Haitei + Sanankou</v>
      </c>
      <c r="B91" s="2">
        <f>IFERROR(__xludf.DUMMYFUNCTION("""COMPUTED_VALUE"""),744.0)</f>
        <v>744</v>
      </c>
      <c r="C91" s="2" t="str">
        <f>IFERROR(__xludf.DUMMYFUNCTION("""COMPUTED_VALUE"""),"Haitei")</f>
        <v>Haitei</v>
      </c>
      <c r="D91" s="2" t="str">
        <f>IFERROR(__xludf.DUMMYFUNCTION("""COMPUTED_VALUE"""),"Sanankou")</f>
        <v>Sanankou</v>
      </c>
    </row>
    <row r="92">
      <c r="A92" s="2" t="str">
        <f>IFERROR(__xludf.DUMMYFUNCTION("""COMPUTED_VALUE"""),"Chankan + Tanyao")</f>
        <v>Chankan + Tanyao</v>
      </c>
      <c r="B92" s="2">
        <f>IFERROR(__xludf.DUMMYFUNCTION("""COMPUTED_VALUE"""),706.0)</f>
        <v>706</v>
      </c>
      <c r="C92" s="2" t="str">
        <f>IFERROR(__xludf.DUMMYFUNCTION("""COMPUTED_VALUE"""),"Chankan")</f>
        <v>Chankan</v>
      </c>
      <c r="D92" s="2" t="str">
        <f>IFERROR(__xludf.DUMMYFUNCTION("""COMPUTED_VALUE"""),"Tanyao")</f>
        <v>Tanyao</v>
      </c>
    </row>
    <row r="93">
      <c r="A93" s="2" t="str">
        <f>IFERROR(__xludf.DUMMYFUNCTION("""COMPUTED_VALUE"""),"Shousangen + Toitoi")</f>
        <v>Shousangen + Toitoi</v>
      </c>
      <c r="B93" s="2">
        <f>IFERROR(__xludf.DUMMYFUNCTION("""COMPUTED_VALUE"""),698.0)</f>
        <v>698</v>
      </c>
      <c r="C93" s="2" t="str">
        <f>IFERROR(__xludf.DUMMYFUNCTION("""COMPUTED_VALUE"""),"Shousangen")</f>
        <v>Shousangen</v>
      </c>
      <c r="D93" s="2" t="str">
        <f>IFERROR(__xludf.DUMMYFUNCTION("""COMPUTED_VALUE"""),"Toitoi")</f>
        <v>Toitoi</v>
      </c>
    </row>
    <row r="94">
      <c r="A94" s="2" t="str">
        <f>IFERROR(__xludf.DUMMYFUNCTION("""COMPUTED_VALUE"""),"Haitei + Itsu")</f>
        <v>Haitei + Itsu</v>
      </c>
      <c r="B94" s="2">
        <f>IFERROR(__xludf.DUMMYFUNCTION("""COMPUTED_VALUE"""),567.0)</f>
        <v>567</v>
      </c>
      <c r="C94" s="2" t="str">
        <f>IFERROR(__xludf.DUMMYFUNCTION("""COMPUTED_VALUE"""),"Haitei")</f>
        <v>Haitei</v>
      </c>
      <c r="D94" s="2" t="str">
        <f>IFERROR(__xludf.DUMMYFUNCTION("""COMPUTED_VALUE"""),"Itsu")</f>
        <v>Itsu</v>
      </c>
    </row>
    <row r="95">
      <c r="A95" s="2" t="str">
        <f>IFERROR(__xludf.DUMMYFUNCTION("""COMPUTED_VALUE"""),"Chankan + Pinfu")</f>
        <v>Chankan + Pinfu</v>
      </c>
      <c r="B95" s="2">
        <f>IFERROR(__xludf.DUMMYFUNCTION("""COMPUTED_VALUE"""),542.0)</f>
        <v>542</v>
      </c>
      <c r="C95" s="2" t="str">
        <f>IFERROR(__xludf.DUMMYFUNCTION("""COMPUTED_VALUE"""),"Chankan")</f>
        <v>Chankan</v>
      </c>
      <c r="D95" s="2" t="str">
        <f>IFERROR(__xludf.DUMMYFUNCTION("""COMPUTED_VALUE"""),"Pinfu")</f>
        <v>Pinfu</v>
      </c>
    </row>
    <row r="96">
      <c r="A96" s="2" t="str">
        <f>IFERROR(__xludf.DUMMYFUNCTION("""COMPUTED_VALUE"""),"Houtei + Itsu")</f>
        <v>Houtei + Itsu</v>
      </c>
      <c r="B96" s="2">
        <f>IFERROR(__xludf.DUMMYFUNCTION("""COMPUTED_VALUE"""),510.0)</f>
        <v>510</v>
      </c>
      <c r="C96" s="2" t="str">
        <f>IFERROR(__xludf.DUMMYFUNCTION("""COMPUTED_VALUE"""),"Houtei")</f>
        <v>Houtei</v>
      </c>
      <c r="D96" s="2" t="str">
        <f>IFERROR(__xludf.DUMMYFUNCTION("""COMPUTED_VALUE"""),"Itsu")</f>
        <v>Itsu</v>
      </c>
    </row>
    <row r="97">
      <c r="A97" s="2" t="str">
        <f>IFERROR(__xludf.DUMMYFUNCTION("""COMPUTED_VALUE"""),"Shousangen + Yakuhai Wind")</f>
        <v>Shousangen + Yakuhai Wind</v>
      </c>
      <c r="B97" s="2">
        <f>IFERROR(__xludf.DUMMYFUNCTION("""COMPUTED_VALUE"""),434.0)</f>
        <v>434</v>
      </c>
      <c r="C97" s="2" t="str">
        <f>IFERROR(__xludf.DUMMYFUNCTION("""COMPUTED_VALUE"""),"Shousangen")</f>
        <v>Shousangen</v>
      </c>
      <c r="D97" s="2" t="str">
        <f>IFERROR(__xludf.DUMMYFUNCTION("""COMPUTED_VALUE"""),"Yakuhai Wind")</f>
        <v>Yakuhai Wind</v>
      </c>
    </row>
    <row r="98">
      <c r="A98" s="2" t="str">
        <f>IFERROR(__xludf.DUMMYFUNCTION("""COMPUTED_VALUE"""),"Haitei + Chinitsu")</f>
        <v>Haitei + Chinitsu</v>
      </c>
      <c r="B98" s="2">
        <f>IFERROR(__xludf.DUMMYFUNCTION("""COMPUTED_VALUE"""),408.0)</f>
        <v>408</v>
      </c>
      <c r="C98" s="2" t="str">
        <f>IFERROR(__xludf.DUMMYFUNCTION("""COMPUTED_VALUE"""),"Haitei")</f>
        <v>Haitei</v>
      </c>
      <c r="D98" s="2" t="str">
        <f>IFERROR(__xludf.DUMMYFUNCTION("""COMPUTED_VALUE"""),"Chinitsu")</f>
        <v>Chinitsu</v>
      </c>
    </row>
    <row r="99">
      <c r="A99" s="2" t="str">
        <f>IFERROR(__xludf.DUMMYFUNCTION("""COMPUTED_VALUE"""),"Chankan + Yakuhai Dragon")</f>
        <v>Chankan + Yakuhai Dragon</v>
      </c>
      <c r="B99" s="2">
        <f>IFERROR(__xludf.DUMMYFUNCTION("""COMPUTED_VALUE"""),395.0)</f>
        <v>395</v>
      </c>
      <c r="C99" s="2" t="str">
        <f>IFERROR(__xludf.DUMMYFUNCTION("""COMPUTED_VALUE"""),"Chankan")</f>
        <v>Chankan</v>
      </c>
      <c r="D99" s="2" t="str">
        <f>IFERROR(__xludf.DUMMYFUNCTION("""COMPUTED_VALUE"""),"Yakuhai Dragon")</f>
        <v>Yakuhai Dragon</v>
      </c>
    </row>
    <row r="100">
      <c r="A100" s="2" t="str">
        <f>IFERROR(__xludf.DUMMYFUNCTION("""COMPUTED_VALUE"""),"Double Riichi + Doujun")</f>
        <v>Double Riichi + Doujun</v>
      </c>
      <c r="B100" s="2">
        <f>IFERROR(__xludf.DUMMYFUNCTION("""COMPUTED_VALUE"""),393.0)</f>
        <v>393</v>
      </c>
      <c r="C100" s="2" t="str">
        <f>IFERROR(__xludf.DUMMYFUNCTION("""COMPUTED_VALUE"""),"Double Riichi")</f>
        <v>Double Riichi</v>
      </c>
      <c r="D100" s="2" t="str">
        <f>IFERROR(__xludf.DUMMYFUNCTION("""COMPUTED_VALUE"""),"Doujun")</f>
        <v>Doujun</v>
      </c>
    </row>
    <row r="101">
      <c r="A101" s="2" t="str">
        <f>IFERROR(__xludf.DUMMYFUNCTION("""COMPUTED_VALUE"""),"Sanankou + Chinitsu")</f>
        <v>Sanankou + Chinitsu</v>
      </c>
      <c r="B101" s="2">
        <f>IFERROR(__xludf.DUMMYFUNCTION("""COMPUTED_VALUE"""),384.0)</f>
        <v>384</v>
      </c>
      <c r="C101" s="2" t="str">
        <f>IFERROR(__xludf.DUMMYFUNCTION("""COMPUTED_VALUE"""),"Sanankou")</f>
        <v>Sanankou</v>
      </c>
      <c r="D101" s="2" t="str">
        <f>IFERROR(__xludf.DUMMYFUNCTION("""COMPUTED_VALUE"""),"Chinitsu")</f>
        <v>Chinitsu</v>
      </c>
    </row>
    <row r="102">
      <c r="A102" s="2" t="str">
        <f>IFERROR(__xludf.DUMMYFUNCTION("""COMPUTED_VALUE"""),"Rinshan + Iipeikou")</f>
        <v>Rinshan + Iipeikou</v>
      </c>
      <c r="B102" s="2">
        <f>IFERROR(__xludf.DUMMYFUNCTION("""COMPUTED_VALUE"""),340.0)</f>
        <v>340</v>
      </c>
      <c r="C102" s="2" t="str">
        <f>IFERROR(__xludf.DUMMYFUNCTION("""COMPUTED_VALUE"""),"Rinshan")</f>
        <v>Rinshan</v>
      </c>
      <c r="D102" s="2" t="str">
        <f>IFERROR(__xludf.DUMMYFUNCTION("""COMPUTED_VALUE"""),"Iipeikou")</f>
        <v>Iipeikou</v>
      </c>
    </row>
    <row r="103">
      <c r="A103" s="2" t="str">
        <f>IFERROR(__xludf.DUMMYFUNCTION("""COMPUTED_VALUE"""),"Sanankou + Doukou")</f>
        <v>Sanankou + Doukou</v>
      </c>
      <c r="B103" s="2">
        <f>IFERROR(__xludf.DUMMYFUNCTION("""COMPUTED_VALUE"""),324.0)</f>
        <v>324</v>
      </c>
      <c r="C103" s="2" t="str">
        <f>IFERROR(__xludf.DUMMYFUNCTION("""COMPUTED_VALUE"""),"Sanankou")</f>
        <v>Sanankou</v>
      </c>
      <c r="D103" s="2" t="str">
        <f>IFERROR(__xludf.DUMMYFUNCTION("""COMPUTED_VALUE"""),"Doukou")</f>
        <v>Doukou</v>
      </c>
    </row>
    <row r="104">
      <c r="A104" s="2" t="str">
        <f>IFERROR(__xludf.DUMMYFUNCTION("""COMPUTED_VALUE"""),"Houtei + Chinitsu")</f>
        <v>Houtei + Chinitsu</v>
      </c>
      <c r="B104" s="2">
        <f>IFERROR(__xludf.DUMMYFUNCTION("""COMPUTED_VALUE"""),311.0)</f>
        <v>311</v>
      </c>
      <c r="C104" s="2" t="str">
        <f>IFERROR(__xludf.DUMMYFUNCTION("""COMPUTED_VALUE"""),"Houtei")</f>
        <v>Houtei</v>
      </c>
      <c r="D104" s="2" t="str">
        <f>IFERROR(__xludf.DUMMYFUNCTION("""COMPUTED_VALUE"""),"Chinitsu")</f>
        <v>Chinitsu</v>
      </c>
    </row>
    <row r="105">
      <c r="A105" s="2" t="str">
        <f>IFERROR(__xludf.DUMMYFUNCTION("""COMPUTED_VALUE"""),"Chankan + Yakuhai Wind")</f>
        <v>Chankan + Yakuhai Wind</v>
      </c>
      <c r="B105" s="2">
        <f>IFERROR(__xludf.DUMMYFUNCTION("""COMPUTED_VALUE"""),260.0)</f>
        <v>260</v>
      </c>
      <c r="C105" s="2" t="str">
        <f>IFERROR(__xludf.DUMMYFUNCTION("""COMPUTED_VALUE"""),"Chankan")</f>
        <v>Chankan</v>
      </c>
      <c r="D105" s="2" t="str">
        <f>IFERROR(__xludf.DUMMYFUNCTION("""COMPUTED_VALUE"""),"Yakuhai Wind")</f>
        <v>Yakuhai Wind</v>
      </c>
    </row>
    <row r="106">
      <c r="A106" s="2" t="str">
        <f>IFERROR(__xludf.DUMMYFUNCTION("""COMPUTED_VALUE"""),"Houtei + Chanta")</f>
        <v>Houtei + Chanta</v>
      </c>
      <c r="B106" s="2">
        <f>IFERROR(__xludf.DUMMYFUNCTION("""COMPUTED_VALUE"""),233.0)</f>
        <v>233</v>
      </c>
      <c r="C106" s="2" t="str">
        <f>IFERROR(__xludf.DUMMYFUNCTION("""COMPUTED_VALUE"""),"Houtei")</f>
        <v>Houtei</v>
      </c>
      <c r="D106" s="2" t="str">
        <f>IFERROR(__xludf.DUMMYFUNCTION("""COMPUTED_VALUE"""),"Chanta")</f>
        <v>Chanta</v>
      </c>
    </row>
    <row r="107">
      <c r="A107" s="2" t="str">
        <f>IFERROR(__xludf.DUMMYFUNCTION("""COMPUTED_VALUE"""),"Haitei + Chanta")</f>
        <v>Haitei + Chanta</v>
      </c>
      <c r="B107" s="2">
        <f>IFERROR(__xludf.DUMMYFUNCTION("""COMPUTED_VALUE"""),218.0)</f>
        <v>218</v>
      </c>
      <c r="C107" s="2" t="str">
        <f>IFERROR(__xludf.DUMMYFUNCTION("""COMPUTED_VALUE"""),"Haitei")</f>
        <v>Haitei</v>
      </c>
      <c r="D107" s="2" t="str">
        <f>IFERROR(__xludf.DUMMYFUNCTION("""COMPUTED_VALUE"""),"Chanta")</f>
        <v>Chanta</v>
      </c>
    </row>
    <row r="108">
      <c r="A108" s="2" t="str">
        <f>IFERROR(__xludf.DUMMYFUNCTION("""COMPUTED_VALUE"""),"Rinshan + Doujun")</f>
        <v>Rinshan + Doujun</v>
      </c>
      <c r="B108" s="2">
        <f>IFERROR(__xludf.DUMMYFUNCTION("""COMPUTED_VALUE"""),217.0)</f>
        <v>217</v>
      </c>
      <c r="C108" s="2" t="str">
        <f>IFERROR(__xludf.DUMMYFUNCTION("""COMPUTED_VALUE"""),"Rinshan")</f>
        <v>Rinshan</v>
      </c>
      <c r="D108" s="2" t="str">
        <f>IFERROR(__xludf.DUMMYFUNCTION("""COMPUTED_VALUE"""),"Doujun")</f>
        <v>Doujun</v>
      </c>
    </row>
    <row r="109">
      <c r="A109" s="2" t="str">
        <f>IFERROR(__xludf.DUMMYFUNCTION("""COMPUTED_VALUE"""),"Double Riichi + Itsu")</f>
        <v>Double Riichi + Itsu</v>
      </c>
      <c r="B109" s="2">
        <f>IFERROR(__xludf.DUMMYFUNCTION("""COMPUTED_VALUE"""),215.0)</f>
        <v>215</v>
      </c>
      <c r="C109" s="2" t="str">
        <f>IFERROR(__xludf.DUMMYFUNCTION("""COMPUTED_VALUE"""),"Double Riichi")</f>
        <v>Double Riichi</v>
      </c>
      <c r="D109" s="2" t="str">
        <f>IFERROR(__xludf.DUMMYFUNCTION("""COMPUTED_VALUE"""),"Itsu")</f>
        <v>Itsu</v>
      </c>
    </row>
    <row r="110">
      <c r="A110" s="2" t="str">
        <f>IFERROR(__xludf.DUMMYFUNCTION("""COMPUTED_VALUE"""),"Houtei + Sanankou")</f>
        <v>Houtei + Sanankou</v>
      </c>
      <c r="B110" s="2">
        <f>IFERROR(__xludf.DUMMYFUNCTION("""COMPUTED_VALUE"""),213.0)</f>
        <v>213</v>
      </c>
      <c r="C110" s="2" t="str">
        <f>IFERROR(__xludf.DUMMYFUNCTION("""COMPUTED_VALUE"""),"Houtei")</f>
        <v>Houtei</v>
      </c>
      <c r="D110" s="2" t="str">
        <f>IFERROR(__xludf.DUMMYFUNCTION("""COMPUTED_VALUE"""),"Sanankou")</f>
        <v>Sanankou</v>
      </c>
    </row>
    <row r="111">
      <c r="A111" s="2" t="str">
        <f>IFERROR(__xludf.DUMMYFUNCTION("""COMPUTED_VALUE"""),"Rinshan + Chanta")</f>
        <v>Rinshan + Chanta</v>
      </c>
      <c r="B111" s="2">
        <f>IFERROR(__xludf.DUMMYFUNCTION("""COMPUTED_VALUE"""),206.0)</f>
        <v>206</v>
      </c>
      <c r="C111" s="2" t="str">
        <f>IFERROR(__xludf.DUMMYFUNCTION("""COMPUTED_VALUE"""),"Rinshan")</f>
        <v>Rinshan</v>
      </c>
      <c r="D111" s="2" t="str">
        <f>IFERROR(__xludf.DUMMYFUNCTION("""COMPUTED_VALUE"""),"Chanta")</f>
        <v>Chanta</v>
      </c>
    </row>
    <row r="112">
      <c r="A112" s="2" t="str">
        <f>IFERROR(__xludf.DUMMYFUNCTION("""COMPUTED_VALUE"""),"Doukou + Yakuhai Dragon")</f>
        <v>Doukou + Yakuhai Dragon</v>
      </c>
      <c r="B112" s="2">
        <f>IFERROR(__xludf.DUMMYFUNCTION("""COMPUTED_VALUE"""),195.0)</f>
        <v>195</v>
      </c>
      <c r="C112" s="2" t="str">
        <f>IFERROR(__xludf.DUMMYFUNCTION("""COMPUTED_VALUE"""),"Doukou")</f>
        <v>Doukou</v>
      </c>
      <c r="D112" s="2" t="str">
        <f>IFERROR(__xludf.DUMMYFUNCTION("""COMPUTED_VALUE"""),"Yakuhai Dragon")</f>
        <v>Yakuhai Dragon</v>
      </c>
    </row>
    <row r="113">
      <c r="A113" s="2" t="str">
        <f>IFERROR(__xludf.DUMMYFUNCTION("""COMPUTED_VALUE"""),"Ryanpeikou + Honitsu")</f>
        <v>Ryanpeikou + Honitsu</v>
      </c>
      <c r="B113" s="2">
        <f>IFERROR(__xludf.DUMMYFUNCTION("""COMPUTED_VALUE"""),183.0)</f>
        <v>183</v>
      </c>
      <c r="C113" s="2" t="str">
        <f>IFERROR(__xludf.DUMMYFUNCTION("""COMPUTED_VALUE"""),"Ryanpeikou")</f>
        <v>Ryanpeikou</v>
      </c>
      <c r="D113" s="2" t="str">
        <f>IFERROR(__xludf.DUMMYFUNCTION("""COMPUTED_VALUE"""),"Honitsu")</f>
        <v>Honitsu</v>
      </c>
    </row>
    <row r="114">
      <c r="A114" s="2" t="str">
        <f>IFERROR(__xludf.DUMMYFUNCTION("""COMPUTED_VALUE"""),"Rinshan + Chinitsu")</f>
        <v>Rinshan + Chinitsu</v>
      </c>
      <c r="B114" s="2">
        <f>IFERROR(__xludf.DUMMYFUNCTION("""COMPUTED_VALUE"""),152.0)</f>
        <v>152</v>
      </c>
      <c r="C114" s="2" t="str">
        <f>IFERROR(__xludf.DUMMYFUNCTION("""COMPUTED_VALUE"""),"Rinshan")</f>
        <v>Rinshan</v>
      </c>
      <c r="D114" s="2" t="str">
        <f>IFERROR(__xludf.DUMMYFUNCTION("""COMPUTED_VALUE"""),"Chinitsu")</f>
        <v>Chinitsu</v>
      </c>
    </row>
    <row r="115">
      <c r="A115" s="2" t="str">
        <f>IFERROR(__xludf.DUMMYFUNCTION("""COMPUTED_VALUE"""),"Chiitoitsu + Honroutou")</f>
        <v>Chiitoitsu + Honroutou</v>
      </c>
      <c r="B115" s="2">
        <f>IFERROR(__xludf.DUMMYFUNCTION("""COMPUTED_VALUE"""),150.0)</f>
        <v>150</v>
      </c>
      <c r="C115" s="2" t="str">
        <f>IFERROR(__xludf.DUMMYFUNCTION("""COMPUTED_VALUE"""),"Chiitoitsu")</f>
        <v>Chiitoitsu</v>
      </c>
      <c r="D115" s="2" t="str">
        <f>IFERROR(__xludf.DUMMYFUNCTION("""COMPUTED_VALUE"""),"Honroutou")</f>
        <v>Honroutou</v>
      </c>
    </row>
    <row r="116">
      <c r="A116" s="2" t="str">
        <f>IFERROR(__xludf.DUMMYFUNCTION("""COMPUTED_VALUE"""),"Ryanpeikou + Chinitsu")</f>
        <v>Ryanpeikou + Chinitsu</v>
      </c>
      <c r="B116" s="2">
        <f>IFERROR(__xludf.DUMMYFUNCTION("""COMPUTED_VALUE"""),121.0)</f>
        <v>121</v>
      </c>
      <c r="C116" s="2" t="str">
        <f>IFERROR(__xludf.DUMMYFUNCTION("""COMPUTED_VALUE"""),"Ryanpeikou")</f>
        <v>Ryanpeikou</v>
      </c>
      <c r="D116" s="2" t="str">
        <f>IFERROR(__xludf.DUMMYFUNCTION("""COMPUTED_VALUE"""),"Chinitsu")</f>
        <v>Chinitsu</v>
      </c>
    </row>
    <row r="117">
      <c r="A117" s="2" t="str">
        <f>IFERROR(__xludf.DUMMYFUNCTION("""COMPUTED_VALUE"""),"Doukou + Yakuhai Wind")</f>
        <v>Doukou + Yakuhai Wind</v>
      </c>
      <c r="B117" s="2">
        <f>IFERROR(__xludf.DUMMYFUNCTION("""COMPUTED_VALUE"""),119.0)</f>
        <v>119</v>
      </c>
      <c r="C117" s="2" t="str">
        <f>IFERROR(__xludf.DUMMYFUNCTION("""COMPUTED_VALUE"""),"Doukou")</f>
        <v>Doukou</v>
      </c>
      <c r="D117" s="2" t="str">
        <f>IFERROR(__xludf.DUMMYFUNCTION("""COMPUTED_VALUE"""),"Yakuhai Wind")</f>
        <v>Yakuhai Wind</v>
      </c>
    </row>
    <row r="118">
      <c r="A118" s="2" t="str">
        <f>IFERROR(__xludf.DUMMYFUNCTION("""COMPUTED_VALUE"""),"Sanankou + Chanta")</f>
        <v>Sanankou + Chanta</v>
      </c>
      <c r="B118" s="2">
        <f>IFERROR(__xludf.DUMMYFUNCTION("""COMPUTED_VALUE"""),114.0)</f>
        <v>114</v>
      </c>
      <c r="C118" s="2" t="str">
        <f>IFERROR(__xludf.DUMMYFUNCTION("""COMPUTED_VALUE"""),"Sanankou")</f>
        <v>Sanankou</v>
      </c>
      <c r="D118" s="2" t="str">
        <f>IFERROR(__xludf.DUMMYFUNCTION("""COMPUTED_VALUE"""),"Chanta")</f>
        <v>Chanta</v>
      </c>
    </row>
    <row r="119">
      <c r="A119" s="2" t="str">
        <f>IFERROR(__xludf.DUMMYFUNCTION("""COMPUTED_VALUE"""),"Chankan + Doujun")</f>
        <v>Chankan + Doujun</v>
      </c>
      <c r="B119" s="2">
        <f>IFERROR(__xludf.DUMMYFUNCTION("""COMPUTED_VALUE"""),111.0)</f>
        <v>111</v>
      </c>
      <c r="C119" s="2" t="str">
        <f>IFERROR(__xludf.DUMMYFUNCTION("""COMPUTED_VALUE"""),"Chankan")</f>
        <v>Chankan</v>
      </c>
      <c r="D119" s="2" t="str">
        <f>IFERROR(__xludf.DUMMYFUNCTION("""COMPUTED_VALUE"""),"Doujun")</f>
        <v>Doujun</v>
      </c>
    </row>
    <row r="120">
      <c r="A120" s="2" t="str">
        <f>IFERROR(__xludf.DUMMYFUNCTION("""COMPUTED_VALUE"""),"Shousangen + Honroutou")</f>
        <v>Shousangen + Honroutou</v>
      </c>
      <c r="B120" s="2">
        <f>IFERROR(__xludf.DUMMYFUNCTION("""COMPUTED_VALUE"""),102.0)</f>
        <v>102</v>
      </c>
      <c r="C120" s="2" t="str">
        <f>IFERROR(__xludf.DUMMYFUNCTION("""COMPUTED_VALUE"""),"Shousangen")</f>
        <v>Shousangen</v>
      </c>
      <c r="D120" s="2" t="str">
        <f>IFERROR(__xludf.DUMMYFUNCTION("""COMPUTED_VALUE"""),"Honroutou")</f>
        <v>Honroutou</v>
      </c>
    </row>
    <row r="121">
      <c r="A121" s="2" t="str">
        <f>IFERROR(__xludf.DUMMYFUNCTION("""COMPUTED_VALUE"""),"Doukou + Honroutou")</f>
        <v>Doukou + Honroutou</v>
      </c>
      <c r="B121" s="2">
        <f>IFERROR(__xludf.DUMMYFUNCTION("""COMPUTED_VALUE"""),98.0)</f>
        <v>98</v>
      </c>
      <c r="C121" s="2" t="str">
        <f>IFERROR(__xludf.DUMMYFUNCTION("""COMPUTED_VALUE"""),"Doukou")</f>
        <v>Doukou</v>
      </c>
      <c r="D121" s="2" t="str">
        <f>IFERROR(__xludf.DUMMYFUNCTION("""COMPUTED_VALUE"""),"Honroutou")</f>
        <v>Honroutou</v>
      </c>
    </row>
    <row r="122">
      <c r="A122" s="2" t="str">
        <f>IFERROR(__xludf.DUMMYFUNCTION("""COMPUTED_VALUE"""),"Houtei + Junchan")</f>
        <v>Houtei + Junchan</v>
      </c>
      <c r="B122" s="2">
        <f>IFERROR(__xludf.DUMMYFUNCTION("""COMPUTED_VALUE"""),90.0)</f>
        <v>90</v>
      </c>
      <c r="C122" s="2" t="str">
        <f>IFERROR(__xludf.DUMMYFUNCTION("""COMPUTED_VALUE"""),"Houtei")</f>
        <v>Houtei</v>
      </c>
      <c r="D122" s="2" t="str">
        <f>IFERROR(__xludf.DUMMYFUNCTION("""COMPUTED_VALUE"""),"Junchan")</f>
        <v>Junchan</v>
      </c>
    </row>
    <row r="123">
      <c r="A123" s="2" t="str">
        <f>IFERROR(__xludf.DUMMYFUNCTION("""COMPUTED_VALUE"""),"Shousangen + Sanankou")</f>
        <v>Shousangen + Sanankou</v>
      </c>
      <c r="B123" s="2">
        <f>IFERROR(__xludf.DUMMYFUNCTION("""COMPUTED_VALUE"""),84.0)</f>
        <v>84</v>
      </c>
      <c r="C123" s="2" t="str">
        <f>IFERROR(__xludf.DUMMYFUNCTION("""COMPUTED_VALUE"""),"Shousangen")</f>
        <v>Shousangen</v>
      </c>
      <c r="D123" s="2" t="str">
        <f>IFERROR(__xludf.DUMMYFUNCTION("""COMPUTED_VALUE"""),"Sanankou")</f>
        <v>Sanankou</v>
      </c>
    </row>
    <row r="124">
      <c r="A124" s="2" t="str">
        <f>IFERROR(__xludf.DUMMYFUNCTION("""COMPUTED_VALUE"""),"Sanankou + Honroutou")</f>
        <v>Sanankou + Honroutou</v>
      </c>
      <c r="B124" s="2">
        <f>IFERROR(__xludf.DUMMYFUNCTION("""COMPUTED_VALUE"""),81.0)</f>
        <v>81</v>
      </c>
      <c r="C124" s="2" t="str">
        <f>IFERROR(__xludf.DUMMYFUNCTION("""COMPUTED_VALUE"""),"Sanankou")</f>
        <v>Sanankou</v>
      </c>
      <c r="D124" s="2" t="str">
        <f>IFERROR(__xludf.DUMMYFUNCTION("""COMPUTED_VALUE"""),"Honroutou")</f>
        <v>Honroutou</v>
      </c>
    </row>
    <row r="125">
      <c r="A125" s="2" t="str">
        <f>IFERROR(__xludf.DUMMYFUNCTION("""COMPUTED_VALUE"""),"Chiitoitsu + Chinitsu")</f>
        <v>Chiitoitsu + Chinitsu</v>
      </c>
      <c r="B125" s="2">
        <f>IFERROR(__xludf.DUMMYFUNCTION("""COMPUTED_VALUE"""),78.0)</f>
        <v>78</v>
      </c>
      <c r="C125" s="2" t="str">
        <f>IFERROR(__xludf.DUMMYFUNCTION("""COMPUTED_VALUE"""),"Chiitoitsu")</f>
        <v>Chiitoitsu</v>
      </c>
      <c r="D125" s="2" t="str">
        <f>IFERROR(__xludf.DUMMYFUNCTION("""COMPUTED_VALUE"""),"Chinitsu")</f>
        <v>Chinitsu</v>
      </c>
    </row>
    <row r="126">
      <c r="A126" s="2" t="str">
        <f>IFERROR(__xludf.DUMMYFUNCTION("""COMPUTED_VALUE"""),"Rinshan + Itsu")</f>
        <v>Rinshan + Itsu</v>
      </c>
      <c r="B126" s="2">
        <f>IFERROR(__xludf.DUMMYFUNCTION("""COMPUTED_VALUE"""),69.0)</f>
        <v>69</v>
      </c>
      <c r="C126" s="2" t="str">
        <f>IFERROR(__xludf.DUMMYFUNCTION("""COMPUTED_VALUE"""),"Rinshan")</f>
        <v>Rinshan</v>
      </c>
      <c r="D126" s="2" t="str">
        <f>IFERROR(__xludf.DUMMYFUNCTION("""COMPUTED_VALUE"""),"Itsu")</f>
        <v>Itsu</v>
      </c>
    </row>
    <row r="127">
      <c r="A127" s="2" t="str">
        <f>IFERROR(__xludf.DUMMYFUNCTION("""COMPUTED_VALUE"""),"Double Riichi + Sanankou")</f>
        <v>Double Riichi + Sanankou</v>
      </c>
      <c r="B127" s="2">
        <f>IFERROR(__xludf.DUMMYFUNCTION("""COMPUTED_VALUE"""),67.0)</f>
        <v>67</v>
      </c>
      <c r="C127" s="2" t="str">
        <f>IFERROR(__xludf.DUMMYFUNCTION("""COMPUTED_VALUE"""),"Double Riichi")</f>
        <v>Double Riichi</v>
      </c>
      <c r="D127" s="2" t="str">
        <f>IFERROR(__xludf.DUMMYFUNCTION("""COMPUTED_VALUE"""),"Sanankou")</f>
        <v>Sanankou</v>
      </c>
    </row>
    <row r="128">
      <c r="A128" s="2" t="str">
        <f>IFERROR(__xludf.DUMMYFUNCTION("""COMPUTED_VALUE"""),"Double Riichi + Honitsu")</f>
        <v>Double Riichi + Honitsu</v>
      </c>
      <c r="B128" s="2">
        <f>IFERROR(__xludf.DUMMYFUNCTION("""COMPUTED_VALUE"""),66.0)</f>
        <v>66</v>
      </c>
      <c r="C128" s="2" t="str">
        <f>IFERROR(__xludf.DUMMYFUNCTION("""COMPUTED_VALUE"""),"Double Riichi")</f>
        <v>Double Riichi</v>
      </c>
      <c r="D128" s="2" t="str">
        <f>IFERROR(__xludf.DUMMYFUNCTION("""COMPUTED_VALUE"""),"Honitsu")</f>
        <v>Honitsu</v>
      </c>
    </row>
    <row r="129">
      <c r="A129" s="2" t="str">
        <f>IFERROR(__xludf.DUMMYFUNCTION("""COMPUTED_VALUE"""),"Haitei + Junchan")</f>
        <v>Haitei + Junchan</v>
      </c>
      <c r="B129" s="2">
        <f>IFERROR(__xludf.DUMMYFUNCTION("""COMPUTED_VALUE"""),63.0)</f>
        <v>63</v>
      </c>
      <c r="C129" s="2" t="str">
        <f>IFERROR(__xludf.DUMMYFUNCTION("""COMPUTED_VALUE"""),"Haitei")</f>
        <v>Haitei</v>
      </c>
      <c r="D129" s="2" t="str">
        <f>IFERROR(__xludf.DUMMYFUNCTION("""COMPUTED_VALUE"""),"Junchan")</f>
        <v>Junchan</v>
      </c>
    </row>
    <row r="130">
      <c r="A130" s="2" t="str">
        <f>IFERROR(__xludf.DUMMYFUNCTION("""COMPUTED_VALUE"""),"Double Riichi + Chanta")</f>
        <v>Double Riichi + Chanta</v>
      </c>
      <c r="B130" s="2">
        <f>IFERROR(__xludf.DUMMYFUNCTION("""COMPUTED_VALUE"""),61.0)</f>
        <v>61</v>
      </c>
      <c r="C130" s="2" t="str">
        <f>IFERROR(__xludf.DUMMYFUNCTION("""COMPUTED_VALUE"""),"Double Riichi")</f>
        <v>Double Riichi</v>
      </c>
      <c r="D130" s="2" t="str">
        <f>IFERROR(__xludf.DUMMYFUNCTION("""COMPUTED_VALUE"""),"Chanta")</f>
        <v>Chanta</v>
      </c>
    </row>
    <row r="131">
      <c r="A131" s="2" t="str">
        <f>IFERROR(__xludf.DUMMYFUNCTION("""COMPUTED_VALUE"""),"Doukou + Chanta")</f>
        <v>Doukou + Chanta</v>
      </c>
      <c r="B131" s="2">
        <f>IFERROR(__xludf.DUMMYFUNCTION("""COMPUTED_VALUE"""),61.0)</f>
        <v>61</v>
      </c>
      <c r="C131" s="2" t="str">
        <f>IFERROR(__xludf.DUMMYFUNCTION("""COMPUTED_VALUE"""),"Doukou")</f>
        <v>Doukou</v>
      </c>
      <c r="D131" s="2" t="str">
        <f>IFERROR(__xludf.DUMMYFUNCTION("""COMPUTED_VALUE"""),"Chanta")</f>
        <v>Chanta</v>
      </c>
    </row>
    <row r="132">
      <c r="A132" s="2" t="str">
        <f>IFERROR(__xludf.DUMMYFUNCTION("""COMPUTED_VALUE"""),"Doukou + Junchan")</f>
        <v>Doukou + Junchan</v>
      </c>
      <c r="B132" s="2">
        <f>IFERROR(__xludf.DUMMYFUNCTION("""COMPUTED_VALUE"""),61.0)</f>
        <v>61</v>
      </c>
      <c r="C132" s="2" t="str">
        <f>IFERROR(__xludf.DUMMYFUNCTION("""COMPUTED_VALUE"""),"Doukou")</f>
        <v>Doukou</v>
      </c>
      <c r="D132" s="2" t="str">
        <f>IFERROR(__xludf.DUMMYFUNCTION("""COMPUTED_VALUE"""),"Junchan")</f>
        <v>Junchan</v>
      </c>
    </row>
    <row r="133">
      <c r="A133" s="2" t="str">
        <f>IFERROR(__xludf.DUMMYFUNCTION("""COMPUTED_VALUE"""),"Ryanpeikou + Chanta")</f>
        <v>Ryanpeikou + Chanta</v>
      </c>
      <c r="B133" s="2">
        <f>IFERROR(__xludf.DUMMYFUNCTION("""COMPUTED_VALUE"""),61.0)</f>
        <v>61</v>
      </c>
      <c r="C133" s="2" t="str">
        <f>IFERROR(__xludf.DUMMYFUNCTION("""COMPUTED_VALUE"""),"Ryanpeikou")</f>
        <v>Ryanpeikou</v>
      </c>
      <c r="D133" s="2" t="str">
        <f>IFERROR(__xludf.DUMMYFUNCTION("""COMPUTED_VALUE"""),"Chanta")</f>
        <v>Chanta</v>
      </c>
    </row>
    <row r="134">
      <c r="A134" s="2" t="str">
        <f>IFERROR(__xludf.DUMMYFUNCTION("""COMPUTED_VALUE"""),"Sankantsu + Yakuhai Dragon")</f>
        <v>Sankantsu + Yakuhai Dragon</v>
      </c>
      <c r="B134" s="2">
        <f>IFERROR(__xludf.DUMMYFUNCTION("""COMPUTED_VALUE"""),60.0)</f>
        <v>60</v>
      </c>
      <c r="C134" s="2" t="str">
        <f>IFERROR(__xludf.DUMMYFUNCTION("""COMPUTED_VALUE"""),"Sankantsu")</f>
        <v>Sankantsu</v>
      </c>
      <c r="D134" s="2" t="str">
        <f>IFERROR(__xludf.DUMMYFUNCTION("""COMPUTED_VALUE"""),"Yakuhai Dragon")</f>
        <v>Yakuhai Dragon</v>
      </c>
    </row>
    <row r="135">
      <c r="A135" s="2" t="str">
        <f>IFERROR(__xludf.DUMMYFUNCTION("""COMPUTED_VALUE"""),"Chankan + Honitsu")</f>
        <v>Chankan + Honitsu</v>
      </c>
      <c r="B135" s="2">
        <f>IFERROR(__xludf.DUMMYFUNCTION("""COMPUTED_VALUE"""),51.0)</f>
        <v>51</v>
      </c>
      <c r="C135" s="2" t="str">
        <f>IFERROR(__xludf.DUMMYFUNCTION("""COMPUTED_VALUE"""),"Chankan")</f>
        <v>Chankan</v>
      </c>
      <c r="D135" s="2" t="str">
        <f>IFERROR(__xludf.DUMMYFUNCTION("""COMPUTED_VALUE"""),"Honitsu")</f>
        <v>Honitsu</v>
      </c>
    </row>
    <row r="136">
      <c r="A136" s="2" t="str">
        <f>IFERROR(__xludf.DUMMYFUNCTION("""COMPUTED_VALUE"""),"Sankantsu + Yakuhai Wind")</f>
        <v>Sankantsu + Yakuhai Wind</v>
      </c>
      <c r="B136" s="2">
        <f>IFERROR(__xludf.DUMMYFUNCTION("""COMPUTED_VALUE"""),47.0)</f>
        <v>47</v>
      </c>
      <c r="C136" s="2" t="str">
        <f>IFERROR(__xludf.DUMMYFUNCTION("""COMPUTED_VALUE"""),"Sankantsu")</f>
        <v>Sankantsu</v>
      </c>
      <c r="D136" s="2" t="str">
        <f>IFERROR(__xludf.DUMMYFUNCTION("""COMPUTED_VALUE"""),"Yakuhai Wind")</f>
        <v>Yakuhai Wind</v>
      </c>
    </row>
    <row r="137">
      <c r="A137" s="2" t="str">
        <f>IFERROR(__xludf.DUMMYFUNCTION("""COMPUTED_VALUE"""),"Chankan + Iipeikou")</f>
        <v>Chankan + Iipeikou</v>
      </c>
      <c r="B137" s="2">
        <f>IFERROR(__xludf.DUMMYFUNCTION("""COMPUTED_VALUE"""),46.0)</f>
        <v>46</v>
      </c>
      <c r="C137" s="2" t="str">
        <f>IFERROR(__xludf.DUMMYFUNCTION("""COMPUTED_VALUE"""),"Chankan")</f>
        <v>Chankan</v>
      </c>
      <c r="D137" s="2" t="str">
        <f>IFERROR(__xludf.DUMMYFUNCTION("""COMPUTED_VALUE"""),"Iipeikou")</f>
        <v>Iipeikou</v>
      </c>
    </row>
    <row r="138">
      <c r="A138" s="2" t="str">
        <f>IFERROR(__xludf.DUMMYFUNCTION("""COMPUTED_VALUE"""),"Chankan + Itsu")</f>
        <v>Chankan + Itsu</v>
      </c>
      <c r="B138" s="2">
        <f>IFERROR(__xludf.DUMMYFUNCTION("""COMPUTED_VALUE"""),42.0)</f>
        <v>42</v>
      </c>
      <c r="C138" s="2" t="str">
        <f>IFERROR(__xludf.DUMMYFUNCTION("""COMPUTED_VALUE"""),"Chankan")</f>
        <v>Chankan</v>
      </c>
      <c r="D138" s="2" t="str">
        <f>IFERROR(__xludf.DUMMYFUNCTION("""COMPUTED_VALUE"""),"Itsu")</f>
        <v>Itsu</v>
      </c>
    </row>
    <row r="139">
      <c r="A139" s="2" t="str">
        <f>IFERROR(__xludf.DUMMYFUNCTION("""COMPUTED_VALUE"""),"Ryanpeikou + Junchan")</f>
        <v>Ryanpeikou + Junchan</v>
      </c>
      <c r="B139" s="2">
        <f>IFERROR(__xludf.DUMMYFUNCTION("""COMPUTED_VALUE"""),41.0)</f>
        <v>41</v>
      </c>
      <c r="C139" s="2" t="str">
        <f>IFERROR(__xludf.DUMMYFUNCTION("""COMPUTED_VALUE"""),"Ryanpeikou")</f>
        <v>Ryanpeikou</v>
      </c>
      <c r="D139" s="2" t="str">
        <f>IFERROR(__xludf.DUMMYFUNCTION("""COMPUTED_VALUE"""),"Junchan")</f>
        <v>Junchan</v>
      </c>
    </row>
    <row r="140">
      <c r="A140" s="2" t="str">
        <f>IFERROR(__xludf.DUMMYFUNCTION("""COMPUTED_VALUE"""),"Sankantsu + Toitoi")</f>
        <v>Sankantsu + Toitoi</v>
      </c>
      <c r="B140" s="2">
        <f>IFERROR(__xludf.DUMMYFUNCTION("""COMPUTED_VALUE"""),40.0)</f>
        <v>40</v>
      </c>
      <c r="C140" s="2" t="str">
        <f>IFERROR(__xludf.DUMMYFUNCTION("""COMPUTED_VALUE"""),"Sankantsu")</f>
        <v>Sankantsu</v>
      </c>
      <c r="D140" s="2" t="str">
        <f>IFERROR(__xludf.DUMMYFUNCTION("""COMPUTED_VALUE"""),"Toitoi")</f>
        <v>Toitoi</v>
      </c>
    </row>
    <row r="141">
      <c r="A141" s="2" t="str">
        <f>IFERROR(__xludf.DUMMYFUNCTION("""COMPUTED_VALUE"""),"Double Riichi + Haitei")</f>
        <v>Double Riichi + Haitei</v>
      </c>
      <c r="B141" s="2">
        <f>IFERROR(__xludf.DUMMYFUNCTION("""COMPUTED_VALUE"""),39.0)</f>
        <v>39</v>
      </c>
      <c r="C141" s="2" t="str">
        <f>IFERROR(__xludf.DUMMYFUNCTION("""COMPUTED_VALUE"""),"Double Riichi")</f>
        <v>Double Riichi</v>
      </c>
      <c r="D141" s="2" t="str">
        <f>IFERROR(__xludf.DUMMYFUNCTION("""COMPUTED_VALUE"""),"Haitei")</f>
        <v>Haitei</v>
      </c>
    </row>
    <row r="142">
      <c r="A142" s="2" t="str">
        <f>IFERROR(__xludf.DUMMYFUNCTION("""COMPUTED_VALUE"""),"Haitei + Shousangen")</f>
        <v>Haitei + Shousangen</v>
      </c>
      <c r="B142" s="2">
        <f>IFERROR(__xludf.DUMMYFUNCTION("""COMPUTED_VALUE"""),39.0)</f>
        <v>39</v>
      </c>
      <c r="C142" s="2" t="str">
        <f>IFERROR(__xludf.DUMMYFUNCTION("""COMPUTED_VALUE"""),"Haitei")</f>
        <v>Haitei</v>
      </c>
      <c r="D142" s="2" t="str">
        <f>IFERROR(__xludf.DUMMYFUNCTION("""COMPUTED_VALUE"""),"Shousangen")</f>
        <v>Shousangen</v>
      </c>
    </row>
    <row r="143">
      <c r="A143" s="2" t="str">
        <f>IFERROR(__xludf.DUMMYFUNCTION("""COMPUTED_VALUE"""),"Rinshan + Shousangen")</f>
        <v>Rinshan + Shousangen</v>
      </c>
      <c r="B143" s="2">
        <f>IFERROR(__xludf.DUMMYFUNCTION("""COMPUTED_VALUE"""),35.0)</f>
        <v>35</v>
      </c>
      <c r="C143" s="2" t="str">
        <f>IFERROR(__xludf.DUMMYFUNCTION("""COMPUTED_VALUE"""),"Rinshan")</f>
        <v>Rinshan</v>
      </c>
      <c r="D143" s="2" t="str">
        <f>IFERROR(__xludf.DUMMYFUNCTION("""COMPUTED_VALUE"""),"Shousangen")</f>
        <v>Shousangen</v>
      </c>
    </row>
    <row r="144">
      <c r="A144" s="2" t="str">
        <f>IFERROR(__xludf.DUMMYFUNCTION("""COMPUTED_VALUE"""),"Houtei + Shousangen")</f>
        <v>Houtei + Shousangen</v>
      </c>
      <c r="B144" s="2">
        <f>IFERROR(__xludf.DUMMYFUNCTION("""COMPUTED_VALUE"""),34.0)</f>
        <v>34</v>
      </c>
      <c r="C144" s="2" t="str">
        <f>IFERROR(__xludf.DUMMYFUNCTION("""COMPUTED_VALUE"""),"Houtei")</f>
        <v>Houtei</v>
      </c>
      <c r="D144" s="2" t="str">
        <f>IFERROR(__xludf.DUMMYFUNCTION("""COMPUTED_VALUE"""),"Shousangen")</f>
        <v>Shousangen</v>
      </c>
    </row>
    <row r="145">
      <c r="A145" s="2" t="str">
        <f>IFERROR(__xludf.DUMMYFUNCTION("""COMPUTED_VALUE"""),"Double Riichi + Houtei")</f>
        <v>Double Riichi + Houtei</v>
      </c>
      <c r="B145" s="2">
        <f>IFERROR(__xludf.DUMMYFUNCTION("""COMPUTED_VALUE"""),27.0)</f>
        <v>27</v>
      </c>
      <c r="C145" s="2" t="str">
        <f>IFERROR(__xludf.DUMMYFUNCTION("""COMPUTED_VALUE"""),"Double Riichi")</f>
        <v>Double Riichi</v>
      </c>
      <c r="D145" s="2" t="str">
        <f>IFERROR(__xludf.DUMMYFUNCTION("""COMPUTED_VALUE"""),"Houtei")</f>
        <v>Houtei</v>
      </c>
    </row>
    <row r="146">
      <c r="A146" s="2" t="str">
        <f>IFERROR(__xludf.DUMMYFUNCTION("""COMPUTED_VALUE"""),"Haitei + Ryanpeikou")</f>
        <v>Haitei + Ryanpeikou</v>
      </c>
      <c r="B146" s="2">
        <f>IFERROR(__xludf.DUMMYFUNCTION("""COMPUTED_VALUE"""),26.0)</f>
        <v>26</v>
      </c>
      <c r="C146" s="2" t="str">
        <f>IFERROR(__xludf.DUMMYFUNCTION("""COMPUTED_VALUE"""),"Haitei")</f>
        <v>Haitei</v>
      </c>
      <c r="D146" s="2" t="str">
        <f>IFERROR(__xludf.DUMMYFUNCTION("""COMPUTED_VALUE"""),"Ryanpeikou")</f>
        <v>Ryanpeikou</v>
      </c>
    </row>
    <row r="147">
      <c r="A147" s="2" t="str">
        <f>IFERROR(__xludf.DUMMYFUNCTION("""COMPUTED_VALUE"""),"Double Riichi + Rinshan")</f>
        <v>Double Riichi + Rinshan</v>
      </c>
      <c r="B147" s="2">
        <f>IFERROR(__xludf.DUMMYFUNCTION("""COMPUTED_VALUE"""),25.0)</f>
        <v>25</v>
      </c>
      <c r="C147" s="2" t="str">
        <f>IFERROR(__xludf.DUMMYFUNCTION("""COMPUTED_VALUE"""),"Double Riichi")</f>
        <v>Double Riichi</v>
      </c>
      <c r="D147" s="2" t="str">
        <f>IFERROR(__xludf.DUMMYFUNCTION("""COMPUTED_VALUE"""),"Rinshan")</f>
        <v>Rinshan</v>
      </c>
    </row>
    <row r="148">
      <c r="A148" s="2" t="str">
        <f>IFERROR(__xludf.DUMMYFUNCTION("""COMPUTED_VALUE"""),"Rinshan + Honroutou")</f>
        <v>Rinshan + Honroutou</v>
      </c>
      <c r="B148" s="2">
        <f>IFERROR(__xludf.DUMMYFUNCTION("""COMPUTED_VALUE"""),25.0)</f>
        <v>25</v>
      </c>
      <c r="C148" s="2" t="str">
        <f>IFERROR(__xludf.DUMMYFUNCTION("""COMPUTED_VALUE"""),"Rinshan")</f>
        <v>Rinshan</v>
      </c>
      <c r="D148" s="2" t="str">
        <f>IFERROR(__xludf.DUMMYFUNCTION("""COMPUTED_VALUE"""),"Honroutou")</f>
        <v>Honroutou</v>
      </c>
    </row>
    <row r="149">
      <c r="A149" s="2" t="str">
        <f>IFERROR(__xludf.DUMMYFUNCTION("""COMPUTED_VALUE"""),"Rinshan + Doukou")</f>
        <v>Rinshan + Doukou</v>
      </c>
      <c r="B149" s="2">
        <f>IFERROR(__xludf.DUMMYFUNCTION("""COMPUTED_VALUE"""),24.0)</f>
        <v>24</v>
      </c>
      <c r="C149" s="2" t="str">
        <f>IFERROR(__xludf.DUMMYFUNCTION("""COMPUTED_VALUE"""),"Rinshan")</f>
        <v>Rinshan</v>
      </c>
      <c r="D149" s="2" t="str">
        <f>IFERROR(__xludf.DUMMYFUNCTION("""COMPUTED_VALUE"""),"Doukou")</f>
        <v>Doukou</v>
      </c>
    </row>
    <row r="150">
      <c r="A150" s="2" t="str">
        <f>IFERROR(__xludf.DUMMYFUNCTION("""COMPUTED_VALUE"""),"Sankantsu + Honitsu")</f>
        <v>Sankantsu + Honitsu</v>
      </c>
      <c r="B150" s="2">
        <f>IFERROR(__xludf.DUMMYFUNCTION("""COMPUTED_VALUE"""),23.0)</f>
        <v>23</v>
      </c>
      <c r="C150" s="2" t="str">
        <f>IFERROR(__xludf.DUMMYFUNCTION("""COMPUTED_VALUE"""),"Sankantsu")</f>
        <v>Sankantsu</v>
      </c>
      <c r="D150" s="2" t="str">
        <f>IFERROR(__xludf.DUMMYFUNCTION("""COMPUTED_VALUE"""),"Honitsu")</f>
        <v>Honitsu</v>
      </c>
    </row>
    <row r="151">
      <c r="A151" s="2" t="str">
        <f>IFERROR(__xludf.DUMMYFUNCTION("""COMPUTED_VALUE"""),"Rinshan + Sankantsu")</f>
        <v>Rinshan + Sankantsu</v>
      </c>
      <c r="B151" s="2">
        <f>IFERROR(__xludf.DUMMYFUNCTION("""COMPUTED_VALUE"""),21.0)</f>
        <v>21</v>
      </c>
      <c r="C151" s="2" t="str">
        <f>IFERROR(__xludf.DUMMYFUNCTION("""COMPUTED_VALUE"""),"Rinshan")</f>
        <v>Rinshan</v>
      </c>
      <c r="D151" s="2" t="str">
        <f>IFERROR(__xludf.DUMMYFUNCTION("""COMPUTED_VALUE"""),"Sankantsu")</f>
        <v>Sankantsu</v>
      </c>
    </row>
    <row r="152">
      <c r="A152" s="2" t="str">
        <f>IFERROR(__xludf.DUMMYFUNCTION("""COMPUTED_VALUE"""),"Rinshan + Junchan")</f>
        <v>Rinshan + Junchan</v>
      </c>
      <c r="B152" s="2">
        <f>IFERROR(__xludf.DUMMYFUNCTION("""COMPUTED_VALUE"""),20.0)</f>
        <v>20</v>
      </c>
      <c r="C152" s="2" t="str">
        <f>IFERROR(__xludf.DUMMYFUNCTION("""COMPUTED_VALUE"""),"Rinshan")</f>
        <v>Rinshan</v>
      </c>
      <c r="D152" s="2" t="str">
        <f>IFERROR(__xludf.DUMMYFUNCTION("""COMPUTED_VALUE"""),"Junchan")</f>
        <v>Junchan</v>
      </c>
    </row>
    <row r="153">
      <c r="A153" s="2" t="str">
        <f>IFERROR(__xludf.DUMMYFUNCTION("""COMPUTED_VALUE"""),"Houtei + Ryanpeikou")</f>
        <v>Houtei + Ryanpeikou</v>
      </c>
      <c r="B153" s="2">
        <f>IFERROR(__xludf.DUMMYFUNCTION("""COMPUTED_VALUE"""),18.0)</f>
        <v>18</v>
      </c>
      <c r="C153" s="2" t="str">
        <f>IFERROR(__xludf.DUMMYFUNCTION("""COMPUTED_VALUE"""),"Houtei")</f>
        <v>Houtei</v>
      </c>
      <c r="D153" s="2" t="str">
        <f>IFERROR(__xludf.DUMMYFUNCTION("""COMPUTED_VALUE"""),"Ryanpeikou")</f>
        <v>Ryanpeikou</v>
      </c>
    </row>
    <row r="154">
      <c r="A154" s="2" t="str">
        <f>IFERROR(__xludf.DUMMYFUNCTION("""COMPUTED_VALUE"""),"Haitei + Doukou")</f>
        <v>Haitei + Doukou</v>
      </c>
      <c r="B154" s="2">
        <f>IFERROR(__xludf.DUMMYFUNCTION("""COMPUTED_VALUE"""),16.0)</f>
        <v>16</v>
      </c>
      <c r="C154" s="2" t="str">
        <f>IFERROR(__xludf.DUMMYFUNCTION("""COMPUTED_VALUE"""),"Haitei")</f>
        <v>Haitei</v>
      </c>
      <c r="D154" s="2" t="str">
        <f>IFERROR(__xludf.DUMMYFUNCTION("""COMPUTED_VALUE"""),"Doukou")</f>
        <v>Doukou</v>
      </c>
    </row>
    <row r="155">
      <c r="A155" s="2" t="str">
        <f>IFERROR(__xludf.DUMMYFUNCTION("""COMPUTED_VALUE"""),"Houtei + Doukou")</f>
        <v>Houtei + Doukou</v>
      </c>
      <c r="B155" s="2">
        <f>IFERROR(__xludf.DUMMYFUNCTION("""COMPUTED_VALUE"""),16.0)</f>
        <v>16</v>
      </c>
      <c r="C155" s="2" t="str">
        <f>IFERROR(__xludf.DUMMYFUNCTION("""COMPUTED_VALUE"""),"Houtei")</f>
        <v>Houtei</v>
      </c>
      <c r="D155" s="2" t="str">
        <f>IFERROR(__xludf.DUMMYFUNCTION("""COMPUTED_VALUE"""),"Doukou")</f>
        <v>Doukou</v>
      </c>
    </row>
    <row r="156">
      <c r="A156" s="2" t="str">
        <f>IFERROR(__xludf.DUMMYFUNCTION("""COMPUTED_VALUE"""),"Chankan + Chinitsu")</f>
        <v>Chankan + Chinitsu</v>
      </c>
      <c r="B156" s="2">
        <f>IFERROR(__xludf.DUMMYFUNCTION("""COMPUTED_VALUE"""),15.0)</f>
        <v>15</v>
      </c>
      <c r="C156" s="2" t="str">
        <f>IFERROR(__xludf.DUMMYFUNCTION("""COMPUTED_VALUE"""),"Chankan")</f>
        <v>Chankan</v>
      </c>
      <c r="D156" s="2" t="str">
        <f>IFERROR(__xludf.DUMMYFUNCTION("""COMPUTED_VALUE"""),"Chinitsu")</f>
        <v>Chinitsu</v>
      </c>
    </row>
    <row r="157">
      <c r="A157" s="2" t="str">
        <f>IFERROR(__xludf.DUMMYFUNCTION("""COMPUTED_VALUE"""),"Double Riichi + Junchan")</f>
        <v>Double Riichi + Junchan</v>
      </c>
      <c r="B157" s="2">
        <f>IFERROR(__xludf.DUMMYFUNCTION("""COMPUTED_VALUE"""),14.0)</f>
        <v>14</v>
      </c>
      <c r="C157" s="2" t="str">
        <f>IFERROR(__xludf.DUMMYFUNCTION("""COMPUTED_VALUE"""),"Double Riichi")</f>
        <v>Double Riichi</v>
      </c>
      <c r="D157" s="2" t="str">
        <f>IFERROR(__xludf.DUMMYFUNCTION("""COMPUTED_VALUE"""),"Junchan")</f>
        <v>Junchan</v>
      </c>
    </row>
    <row r="158">
      <c r="A158" s="2" t="str">
        <f>IFERROR(__xludf.DUMMYFUNCTION("""COMPUTED_VALUE"""),"Chankan + Chanta")</f>
        <v>Chankan + Chanta</v>
      </c>
      <c r="B158" s="2">
        <f>IFERROR(__xludf.DUMMYFUNCTION("""COMPUTED_VALUE"""),13.0)</f>
        <v>13</v>
      </c>
      <c r="C158" s="2" t="str">
        <f>IFERROR(__xludf.DUMMYFUNCTION("""COMPUTED_VALUE"""),"Chankan")</f>
        <v>Chankan</v>
      </c>
      <c r="D158" s="2" t="str">
        <f>IFERROR(__xludf.DUMMYFUNCTION("""COMPUTED_VALUE"""),"Chanta")</f>
        <v>Chanta</v>
      </c>
    </row>
    <row r="159">
      <c r="A159" s="2" t="str">
        <f>IFERROR(__xludf.DUMMYFUNCTION("""COMPUTED_VALUE"""),"Chankan + Junchan")</f>
        <v>Chankan + Junchan</v>
      </c>
      <c r="B159" s="2">
        <f>IFERROR(__xludf.DUMMYFUNCTION("""COMPUTED_VALUE"""),11.0)</f>
        <v>11</v>
      </c>
      <c r="C159" s="2" t="str">
        <f>IFERROR(__xludf.DUMMYFUNCTION("""COMPUTED_VALUE"""),"Chankan")</f>
        <v>Chankan</v>
      </c>
      <c r="D159" s="2" t="str">
        <f>IFERROR(__xludf.DUMMYFUNCTION("""COMPUTED_VALUE"""),"Junchan")</f>
        <v>Junchan</v>
      </c>
    </row>
    <row r="160">
      <c r="A160" s="2" t="str">
        <f>IFERROR(__xludf.DUMMYFUNCTION("""COMPUTED_VALUE"""),"Haitei + Honroutou")</f>
        <v>Haitei + Honroutou</v>
      </c>
      <c r="B160" s="2">
        <f>IFERROR(__xludf.DUMMYFUNCTION("""COMPUTED_VALUE"""),11.0)</f>
        <v>11</v>
      </c>
      <c r="C160" s="2" t="str">
        <f>IFERROR(__xludf.DUMMYFUNCTION("""COMPUTED_VALUE"""),"Haitei")</f>
        <v>Haitei</v>
      </c>
      <c r="D160" s="2" t="str">
        <f>IFERROR(__xludf.DUMMYFUNCTION("""COMPUTED_VALUE"""),"Honroutou")</f>
        <v>Honroutou</v>
      </c>
    </row>
    <row r="161">
      <c r="A161" s="2" t="str">
        <f>IFERROR(__xludf.DUMMYFUNCTION("""COMPUTED_VALUE"""),"Houtei + Honroutou")</f>
        <v>Houtei + Honroutou</v>
      </c>
      <c r="B161" s="2">
        <f>IFERROR(__xludf.DUMMYFUNCTION("""COMPUTED_VALUE"""),10.0)</f>
        <v>10</v>
      </c>
      <c r="C161" s="2" t="str">
        <f>IFERROR(__xludf.DUMMYFUNCTION("""COMPUTED_VALUE"""),"Houtei")</f>
        <v>Houtei</v>
      </c>
      <c r="D161" s="2" t="str">
        <f>IFERROR(__xludf.DUMMYFUNCTION("""COMPUTED_VALUE"""),"Honroutou")</f>
        <v>Honroutou</v>
      </c>
    </row>
    <row r="162">
      <c r="A162" s="2" t="str">
        <f>IFERROR(__xludf.DUMMYFUNCTION("""COMPUTED_VALUE"""),"Shousangen + Iipeikou")</f>
        <v>Shousangen + Iipeikou</v>
      </c>
      <c r="B162" s="2">
        <f>IFERROR(__xludf.DUMMYFUNCTION("""COMPUTED_VALUE"""),9.0)</f>
        <v>9</v>
      </c>
      <c r="C162" s="2" t="str">
        <f>IFERROR(__xludf.DUMMYFUNCTION("""COMPUTED_VALUE"""),"Shousangen")</f>
        <v>Shousangen</v>
      </c>
      <c r="D162" s="2" t="str">
        <f>IFERROR(__xludf.DUMMYFUNCTION("""COMPUTED_VALUE"""),"Iipeikou")</f>
        <v>Iipeikou</v>
      </c>
    </row>
    <row r="163">
      <c r="A163" s="2" t="str">
        <f>IFERROR(__xludf.DUMMYFUNCTION("""COMPUTED_VALUE"""),"Sankantsu + Sanankou")</f>
        <v>Sankantsu + Sanankou</v>
      </c>
      <c r="B163" s="2">
        <f>IFERROR(__xludf.DUMMYFUNCTION("""COMPUTED_VALUE"""),8.0)</f>
        <v>8</v>
      </c>
      <c r="C163" s="2" t="str">
        <f>IFERROR(__xludf.DUMMYFUNCTION("""COMPUTED_VALUE"""),"Sankantsu")</f>
        <v>Sankantsu</v>
      </c>
      <c r="D163" s="2" t="str">
        <f>IFERROR(__xludf.DUMMYFUNCTION("""COMPUTED_VALUE"""),"Sanankou")</f>
        <v>Sanankou</v>
      </c>
    </row>
    <row r="164">
      <c r="A164" s="2" t="str">
        <f>IFERROR(__xludf.DUMMYFUNCTION("""COMPUTED_VALUE"""),"Sankantsu + Tanyao")</f>
        <v>Sankantsu + Tanyao</v>
      </c>
      <c r="B164" s="2">
        <f>IFERROR(__xludf.DUMMYFUNCTION("""COMPUTED_VALUE"""),6.0)</f>
        <v>6</v>
      </c>
      <c r="C164" s="2" t="str">
        <f>IFERROR(__xludf.DUMMYFUNCTION("""COMPUTED_VALUE"""),"Sankantsu")</f>
        <v>Sankantsu</v>
      </c>
      <c r="D164" s="2" t="str">
        <f>IFERROR(__xludf.DUMMYFUNCTION("""COMPUTED_VALUE"""),"Tanyao")</f>
        <v>Tanyao</v>
      </c>
    </row>
    <row r="165">
      <c r="A165" s="2" t="str">
        <f>IFERROR(__xludf.DUMMYFUNCTION("""COMPUTED_VALUE"""),"Sanankou + Junchan")</f>
        <v>Sanankou + Junchan</v>
      </c>
      <c r="B165" s="2">
        <f>IFERROR(__xludf.DUMMYFUNCTION("""COMPUTED_VALUE"""),5.0)</f>
        <v>5</v>
      </c>
      <c r="C165" s="2" t="str">
        <f>IFERROR(__xludf.DUMMYFUNCTION("""COMPUTED_VALUE"""),"Sanankou")</f>
        <v>Sanankou</v>
      </c>
      <c r="D165" s="2" t="str">
        <f>IFERROR(__xludf.DUMMYFUNCTION("""COMPUTED_VALUE"""),"Junchan")</f>
        <v>Junchan</v>
      </c>
    </row>
    <row r="166">
      <c r="A166" s="2" t="str">
        <f>IFERROR(__xludf.DUMMYFUNCTION("""COMPUTED_VALUE"""),"Chankan + Sanankou")</f>
        <v>Chankan + Sanankou</v>
      </c>
      <c r="B166" s="2">
        <f>IFERROR(__xludf.DUMMYFUNCTION("""COMPUTED_VALUE"""),4.0)</f>
        <v>4</v>
      </c>
      <c r="C166" s="2" t="str">
        <f>IFERROR(__xludf.DUMMYFUNCTION("""COMPUTED_VALUE"""),"Chankan")</f>
        <v>Chankan</v>
      </c>
      <c r="D166" s="2" t="str">
        <f>IFERROR(__xludf.DUMMYFUNCTION("""COMPUTED_VALUE"""),"Sanankou")</f>
        <v>Sanankou</v>
      </c>
    </row>
    <row r="167">
      <c r="A167" s="2" t="str">
        <f>IFERROR(__xludf.DUMMYFUNCTION("""COMPUTED_VALUE"""),"Haitei + Sankantsu")</f>
        <v>Haitei + Sankantsu</v>
      </c>
      <c r="B167" s="2">
        <f>IFERROR(__xludf.DUMMYFUNCTION("""COMPUTED_VALUE"""),4.0)</f>
        <v>4</v>
      </c>
      <c r="C167" s="2" t="str">
        <f>IFERROR(__xludf.DUMMYFUNCTION("""COMPUTED_VALUE"""),"Haitei")</f>
        <v>Haitei</v>
      </c>
      <c r="D167" s="2" t="str">
        <f>IFERROR(__xludf.DUMMYFUNCTION("""COMPUTED_VALUE"""),"Sankantsu")</f>
        <v>Sankantsu</v>
      </c>
    </row>
    <row r="168">
      <c r="A168" s="2" t="str">
        <f>IFERROR(__xludf.DUMMYFUNCTION("""COMPUTED_VALUE"""),"Double Riichi + Toitoi")</f>
        <v>Double Riichi + Toitoi</v>
      </c>
      <c r="B168" s="2">
        <f>IFERROR(__xludf.DUMMYFUNCTION("""COMPUTED_VALUE"""),3.0)</f>
        <v>3</v>
      </c>
      <c r="C168" s="2" t="str">
        <f>IFERROR(__xludf.DUMMYFUNCTION("""COMPUTED_VALUE"""),"Double Riichi")</f>
        <v>Double Riichi</v>
      </c>
      <c r="D168" s="2" t="str">
        <f>IFERROR(__xludf.DUMMYFUNCTION("""COMPUTED_VALUE"""),"Toitoi")</f>
        <v>Toitoi</v>
      </c>
    </row>
    <row r="169">
      <c r="A169" s="2" t="str">
        <f>IFERROR(__xludf.DUMMYFUNCTION("""COMPUTED_VALUE"""),"Junchan + Chinitsu")</f>
        <v>Junchan + Chinitsu</v>
      </c>
      <c r="B169" s="2">
        <f>IFERROR(__xludf.DUMMYFUNCTION("""COMPUTED_VALUE"""),3.0)</f>
        <v>3</v>
      </c>
      <c r="C169" s="2" t="str">
        <f>IFERROR(__xludf.DUMMYFUNCTION("""COMPUTED_VALUE"""),"Junchan")</f>
        <v>Junchan</v>
      </c>
      <c r="D169" s="2" t="str">
        <f>IFERROR(__xludf.DUMMYFUNCTION("""COMPUTED_VALUE"""),"Chinitsu")</f>
        <v>Chinitsu</v>
      </c>
    </row>
    <row r="170">
      <c r="A170" s="2" t="str">
        <f>IFERROR(__xludf.DUMMYFUNCTION("""COMPUTED_VALUE"""),"Double Riichi + Chinitsu")</f>
        <v>Double Riichi + Chinitsu</v>
      </c>
      <c r="B170" s="2">
        <f>IFERROR(__xludf.DUMMYFUNCTION("""COMPUTED_VALUE"""),2.0)</f>
        <v>2</v>
      </c>
      <c r="C170" s="2" t="str">
        <f>IFERROR(__xludf.DUMMYFUNCTION("""COMPUTED_VALUE"""),"Double Riichi")</f>
        <v>Double Riichi</v>
      </c>
      <c r="D170" s="2" t="str">
        <f>IFERROR(__xludf.DUMMYFUNCTION("""COMPUTED_VALUE"""),"Chinitsu")</f>
        <v>Chinitsu</v>
      </c>
    </row>
    <row r="171">
      <c r="A171" s="2" t="str">
        <f>IFERROR(__xludf.DUMMYFUNCTION("""COMPUTED_VALUE"""),"Double Riichi + Ryanpeikou")</f>
        <v>Double Riichi + Ryanpeikou</v>
      </c>
      <c r="B171" s="2">
        <f>IFERROR(__xludf.DUMMYFUNCTION("""COMPUTED_VALUE"""),2.0)</f>
        <v>2</v>
      </c>
      <c r="C171" s="2" t="str">
        <f>IFERROR(__xludf.DUMMYFUNCTION("""COMPUTED_VALUE"""),"Double Riichi")</f>
        <v>Double Riichi</v>
      </c>
      <c r="D171" s="2" t="str">
        <f>IFERROR(__xludf.DUMMYFUNCTION("""COMPUTED_VALUE"""),"Ryanpeikou")</f>
        <v>Ryanpeikou</v>
      </c>
    </row>
    <row r="172">
      <c r="A172" s="2" t="str">
        <f>IFERROR(__xludf.DUMMYFUNCTION("""COMPUTED_VALUE"""),"Sankantsu + Honroutou")</f>
        <v>Sankantsu + Honroutou</v>
      </c>
      <c r="B172" s="2">
        <f>IFERROR(__xludf.DUMMYFUNCTION("""COMPUTED_VALUE"""),2.0)</f>
        <v>2</v>
      </c>
      <c r="C172" s="2" t="str">
        <f>IFERROR(__xludf.DUMMYFUNCTION("""COMPUTED_VALUE"""),"Sankantsu")</f>
        <v>Sankantsu</v>
      </c>
      <c r="D172" s="2" t="str">
        <f>IFERROR(__xludf.DUMMYFUNCTION("""COMPUTED_VALUE"""),"Honroutou")</f>
        <v>Honroutou</v>
      </c>
    </row>
    <row r="173">
      <c r="A173" s="2" t="str">
        <f>IFERROR(__xludf.DUMMYFUNCTION("""COMPUTED_VALUE"""),"Double Riichi + Doukou")</f>
        <v>Double Riichi + Doukou</v>
      </c>
      <c r="B173" s="2">
        <f>IFERROR(__xludf.DUMMYFUNCTION("""COMPUTED_VALUE"""),1.0)</f>
        <v>1</v>
      </c>
      <c r="C173" s="2" t="str">
        <f>IFERROR(__xludf.DUMMYFUNCTION("""COMPUTED_VALUE"""),"Double Riichi")</f>
        <v>Double Riichi</v>
      </c>
      <c r="D173" s="2" t="str">
        <f>IFERROR(__xludf.DUMMYFUNCTION("""COMPUTED_VALUE"""),"Doukou")</f>
        <v>Doukou</v>
      </c>
    </row>
    <row r="174">
      <c r="A174" s="2" t="str">
        <f>IFERROR(__xludf.DUMMYFUNCTION("""COMPUTED_VALUE"""),"Double Riichi + Honroutou")</f>
        <v>Double Riichi + Honroutou</v>
      </c>
      <c r="B174" s="2">
        <f>IFERROR(__xludf.DUMMYFUNCTION("""COMPUTED_VALUE"""),1.0)</f>
        <v>1</v>
      </c>
      <c r="C174" s="2" t="str">
        <f>IFERROR(__xludf.DUMMYFUNCTION("""COMPUTED_VALUE"""),"Double Riichi")</f>
        <v>Double Riichi</v>
      </c>
      <c r="D174" s="2" t="str">
        <f>IFERROR(__xludf.DUMMYFUNCTION("""COMPUTED_VALUE"""),"Honroutou")</f>
        <v>Honroutou</v>
      </c>
    </row>
    <row r="175">
      <c r="A175" s="2" t="str">
        <f>IFERROR(__xludf.DUMMYFUNCTION("""COMPUTED_VALUE"""),"Double Riichi + Shousangen")</f>
        <v>Double Riichi + Shousangen</v>
      </c>
      <c r="B175" s="2">
        <f>IFERROR(__xludf.DUMMYFUNCTION("""COMPUTED_VALUE"""),1.0)</f>
        <v>1</v>
      </c>
      <c r="C175" s="2" t="str">
        <f>IFERROR(__xludf.DUMMYFUNCTION("""COMPUTED_VALUE"""),"Double Riichi")</f>
        <v>Double Riichi</v>
      </c>
      <c r="D175" s="2" t="str">
        <f>IFERROR(__xludf.DUMMYFUNCTION("""COMPUTED_VALUE"""),"Shousangen")</f>
        <v>Shousangen</v>
      </c>
    </row>
    <row r="176">
      <c r="A176" s="2" t="str">
        <f>IFERROR(__xludf.DUMMYFUNCTION("""COMPUTED_VALUE"""),"Sankantsu + Chanta")</f>
        <v>Sankantsu + Chanta</v>
      </c>
      <c r="B176" s="2">
        <f>IFERROR(__xludf.DUMMYFUNCTION("""COMPUTED_VALUE"""),1.0)</f>
        <v>1</v>
      </c>
      <c r="C176" s="2" t="str">
        <f>IFERROR(__xludf.DUMMYFUNCTION("""COMPUTED_VALUE"""),"Sankantsu")</f>
        <v>Sankantsu</v>
      </c>
      <c r="D176" s="2" t="str">
        <f>IFERROR(__xludf.DUMMYFUNCTION("""COMPUTED_VALUE"""),"Chanta")</f>
        <v>Chanta</v>
      </c>
    </row>
    <row r="177">
      <c r="A177" s="2" t="str">
        <f>IFERROR(__xludf.DUMMYFUNCTION("""COMPUTED_VALUE"""),"Sankantsu + Chinitsu")</f>
        <v>Sankantsu + Chinitsu</v>
      </c>
      <c r="B177" s="2">
        <f>IFERROR(__xludf.DUMMYFUNCTION("""COMPUTED_VALUE"""),1.0)</f>
        <v>1</v>
      </c>
      <c r="C177" s="2" t="str">
        <f>IFERROR(__xludf.DUMMYFUNCTION("""COMPUTED_VALUE"""),"Sankantsu")</f>
        <v>Sankantsu</v>
      </c>
      <c r="D177" s="2" t="str">
        <f>IFERROR(__xludf.DUMMYFUNCTION("""COMPUTED_VALUE"""),"Chinitsu")</f>
        <v>Chinitsu</v>
      </c>
    </row>
    <row r="178">
      <c r="A178" s="2" t="str">
        <f>IFERROR(__xludf.DUMMYFUNCTION("""COMPUTED_VALUE"""),"Sankantsu + Doukou")</f>
        <v>Sankantsu + Doukou</v>
      </c>
      <c r="B178" s="2">
        <f>IFERROR(__xludf.DUMMYFUNCTION("""COMPUTED_VALUE"""),1.0)</f>
        <v>1</v>
      </c>
      <c r="C178" s="2" t="str">
        <f>IFERROR(__xludf.DUMMYFUNCTION("""COMPUTED_VALUE"""),"Sankantsu")</f>
        <v>Sankantsu</v>
      </c>
      <c r="D178" s="2" t="str">
        <f>IFERROR(__xludf.DUMMYFUNCTION("""COMPUTED_VALUE"""),"Doukou")</f>
        <v>Doukou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>
      <c r="A1" s="1" t="s">
        <v>335</v>
      </c>
      <c r="B1" s="1" t="s">
        <v>3</v>
      </c>
    </row>
    <row r="2">
      <c r="A2" s="1" t="s">
        <v>336</v>
      </c>
      <c r="B2" s="1">
        <v>4814961.0</v>
      </c>
    </row>
    <row r="3">
      <c r="A3" s="1" t="s">
        <v>337</v>
      </c>
      <c r="B3" s="1">
        <v>4331528.0</v>
      </c>
    </row>
    <row r="4">
      <c r="A4" s="1" t="s">
        <v>338</v>
      </c>
      <c r="B4" s="1">
        <v>4279406.0</v>
      </c>
    </row>
    <row r="5">
      <c r="A5" s="1" t="s">
        <v>339</v>
      </c>
      <c r="B5" s="1">
        <v>2705697.0</v>
      </c>
    </row>
    <row r="6">
      <c r="A6" s="1" t="s">
        <v>340</v>
      </c>
      <c r="B6" s="1">
        <v>2622346.0</v>
      </c>
    </row>
    <row r="7">
      <c r="A7" s="1" t="s">
        <v>341</v>
      </c>
      <c r="B7" s="1">
        <v>2577364.0</v>
      </c>
    </row>
    <row r="8">
      <c r="A8" s="1" t="s">
        <v>342</v>
      </c>
      <c r="B8" s="1">
        <v>2212931.0</v>
      </c>
    </row>
    <row r="9">
      <c r="A9" s="1" t="s">
        <v>343</v>
      </c>
      <c r="B9" s="1">
        <v>1823738.0</v>
      </c>
    </row>
    <row r="10">
      <c r="A10" s="1" t="s">
        <v>344</v>
      </c>
      <c r="B10" s="1">
        <v>1375428.0</v>
      </c>
    </row>
    <row r="11">
      <c r="A11" s="1" t="s">
        <v>345</v>
      </c>
      <c r="B11" s="1">
        <v>810769.0</v>
      </c>
    </row>
    <row r="12">
      <c r="A12" s="1" t="s">
        <v>346</v>
      </c>
      <c r="B12" s="1">
        <v>489692.0</v>
      </c>
    </row>
    <row r="13">
      <c r="A13" s="1" t="s">
        <v>347</v>
      </c>
      <c r="B13" s="1">
        <v>431258.0</v>
      </c>
    </row>
    <row r="14">
      <c r="A14" s="1" t="s">
        <v>348</v>
      </c>
      <c r="B14" s="1">
        <v>425182.0</v>
      </c>
    </row>
    <row r="15">
      <c r="A15" s="1" t="s">
        <v>349</v>
      </c>
      <c r="B15" s="1">
        <v>297343.0</v>
      </c>
    </row>
    <row r="16">
      <c r="A16" s="1" t="s">
        <v>350</v>
      </c>
      <c r="B16" s="1">
        <v>178240.0</v>
      </c>
    </row>
    <row r="17">
      <c r="A17" s="1" t="s">
        <v>351</v>
      </c>
      <c r="B17" s="1">
        <v>164382.0</v>
      </c>
    </row>
    <row r="18">
      <c r="A18" s="1" t="s">
        <v>352</v>
      </c>
      <c r="B18" s="1">
        <v>95364.0</v>
      </c>
    </row>
    <row r="19">
      <c r="A19" s="1" t="s">
        <v>353</v>
      </c>
      <c r="B19" s="1">
        <v>70690.0</v>
      </c>
    </row>
    <row r="20">
      <c r="A20" s="1" t="s">
        <v>354</v>
      </c>
      <c r="B20" s="1">
        <v>59499.0</v>
      </c>
    </row>
    <row r="21">
      <c r="A21" s="1" t="s">
        <v>355</v>
      </c>
      <c r="B21" s="1">
        <v>52359.0</v>
      </c>
    </row>
    <row r="22">
      <c r="A22" s="1" t="s">
        <v>356</v>
      </c>
      <c r="B22" s="1">
        <v>48712.0</v>
      </c>
    </row>
    <row r="23">
      <c r="A23" s="1" t="s">
        <v>357</v>
      </c>
      <c r="B23" s="1">
        <v>32128.0</v>
      </c>
    </row>
    <row r="24">
      <c r="A24" s="1" t="s">
        <v>358</v>
      </c>
      <c r="B24" s="1">
        <v>27778.0</v>
      </c>
    </row>
    <row r="25">
      <c r="A25" s="1" t="s">
        <v>0</v>
      </c>
      <c r="B25" s="1">
        <v>21929.0</v>
      </c>
    </row>
    <row r="26">
      <c r="A26" s="1" t="s">
        <v>359</v>
      </c>
      <c r="B26" s="1">
        <v>8532.0</v>
      </c>
    </row>
    <row r="27">
      <c r="A27" s="1" t="s">
        <v>360</v>
      </c>
      <c r="B27" s="1">
        <v>3962.0</v>
      </c>
    </row>
    <row r="28">
      <c r="A28" s="1" t="s">
        <v>361</v>
      </c>
      <c r="B28" s="1">
        <v>3141.0</v>
      </c>
    </row>
    <row r="29">
      <c r="A29" s="1" t="s">
        <v>362</v>
      </c>
      <c r="B29" s="1">
        <v>2957.0</v>
      </c>
    </row>
    <row r="30">
      <c r="A30" s="1" t="s">
        <v>363</v>
      </c>
      <c r="B30" s="1">
        <v>2304.0</v>
      </c>
    </row>
    <row r="31">
      <c r="A31" s="1" t="s">
        <v>364</v>
      </c>
      <c r="B31" s="1">
        <v>103.0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88"/>
  </cols>
  <sheetData>
    <row r="1">
      <c r="A1" s="1" t="str">
        <f>Pretty!A1</f>
        <v>Double Riichi</v>
      </c>
    </row>
    <row r="2">
      <c r="A2" s="2" t="str">
        <f>IFERROR(__xludf.DUMMYFUNCTION("QUERY('Yaku Totals'!A2:B50, CONCATENATE(CONCATENATE(""select * where A = '"", A1), ""'""))"),"Double Riichi")</f>
        <v>Double Riichi</v>
      </c>
      <c r="B2" s="2">
        <f>IFERROR(__xludf.DUMMYFUNCTION("""COMPUTED_VALUE"""),21929.0)</f>
        <v>21929</v>
      </c>
    </row>
    <row r="3">
      <c r="A3" s="2" t="str">
        <f>IFERROR(__xludf.DUMMYFUNCTION("QUERY('Pairing Totals'!A2:D328 , CONCATENATE(CONCATENATE(CONCATENATE(CONCATENATE(""SELECT * WHERE C = '"", A1), ""' OR D = '""), A1), ""'""))"),"Double Riichi + Tsumo")</f>
        <v>Double Riichi + Tsumo</v>
      </c>
      <c r="B3" s="2">
        <f>IFERROR(__xludf.DUMMYFUNCTION("""COMPUTED_VALUE"""),10789.0)</f>
        <v>10789</v>
      </c>
      <c r="C3" s="2" t="str">
        <f>IFERROR(__xludf.DUMMYFUNCTION("""COMPUTED_VALUE"""),"Double Riichi")</f>
        <v>Double Riichi</v>
      </c>
      <c r="D3" s="2" t="str">
        <f>IFERROR(__xludf.DUMMYFUNCTION("""COMPUTED_VALUE"""),"Tsumo")</f>
        <v>Tsumo</v>
      </c>
    </row>
    <row r="4">
      <c r="A4" s="2" t="str">
        <f>IFERROR(__xludf.DUMMYFUNCTION("""COMPUTED_VALUE"""),"Double Riichi + Akadora")</f>
        <v>Double Riichi + Akadora</v>
      </c>
      <c r="B4" s="2">
        <f>IFERROR(__xludf.DUMMYFUNCTION("""COMPUTED_VALUE"""),7370.0)</f>
        <v>7370</v>
      </c>
      <c r="C4" s="2" t="str">
        <f>IFERROR(__xludf.DUMMYFUNCTION("""COMPUTED_VALUE"""),"Double Riichi")</f>
        <v>Double Riichi</v>
      </c>
      <c r="D4" s="2" t="str">
        <f>IFERROR(__xludf.DUMMYFUNCTION("""COMPUTED_VALUE"""),"Akadora")</f>
        <v>Akadora</v>
      </c>
    </row>
    <row r="5">
      <c r="A5" s="2" t="str">
        <f>IFERROR(__xludf.DUMMYFUNCTION("""COMPUTED_VALUE"""),"Double Riichi + Uradora")</f>
        <v>Double Riichi + Uradora</v>
      </c>
      <c r="B5" s="2">
        <f>IFERROR(__xludf.DUMMYFUNCTION("""COMPUTED_VALUE"""),6538.0)</f>
        <v>6538</v>
      </c>
      <c r="C5" s="2" t="str">
        <f>IFERROR(__xludf.DUMMYFUNCTION("""COMPUTED_VALUE"""),"Double Riichi")</f>
        <v>Double Riichi</v>
      </c>
      <c r="D5" s="2" t="str">
        <f>IFERROR(__xludf.DUMMYFUNCTION("""COMPUTED_VALUE"""),"Uradora")</f>
        <v>Uradora</v>
      </c>
    </row>
    <row r="6">
      <c r="A6" s="2" t="str">
        <f>IFERROR(__xludf.DUMMYFUNCTION("""COMPUTED_VALUE"""),"Double Riichi + Dora")</f>
        <v>Double Riichi + Dora</v>
      </c>
      <c r="B6" s="2">
        <f>IFERROR(__xludf.DUMMYFUNCTION("""COMPUTED_VALUE"""),6397.0)</f>
        <v>6397</v>
      </c>
      <c r="C6" s="2" t="str">
        <f>IFERROR(__xludf.DUMMYFUNCTION("""COMPUTED_VALUE"""),"Double Riichi")</f>
        <v>Double Riichi</v>
      </c>
      <c r="D6" s="2" t="str">
        <f>IFERROR(__xludf.DUMMYFUNCTION("""COMPUTED_VALUE"""),"Dora")</f>
        <v>Dora</v>
      </c>
    </row>
    <row r="7">
      <c r="A7" s="2" t="str">
        <f>IFERROR(__xludf.DUMMYFUNCTION("""COMPUTED_VALUE"""),"Double Riichi + Pinfu")</f>
        <v>Double Riichi + Pinfu</v>
      </c>
      <c r="B7" s="2">
        <f>IFERROR(__xludf.DUMMYFUNCTION("""COMPUTED_VALUE"""),3868.0)</f>
        <v>3868</v>
      </c>
      <c r="C7" s="2" t="str">
        <f>IFERROR(__xludf.DUMMYFUNCTION("""COMPUTED_VALUE"""),"Double Riichi")</f>
        <v>Double Riichi</v>
      </c>
      <c r="D7" s="2" t="str">
        <f>IFERROR(__xludf.DUMMYFUNCTION("""COMPUTED_VALUE"""),"Pinfu")</f>
        <v>Pinfu</v>
      </c>
    </row>
    <row r="8">
      <c r="A8" s="2" t="str">
        <f>IFERROR(__xludf.DUMMYFUNCTION("""COMPUTED_VALUE"""),"Double Riichi + Chiitoitsu")</f>
        <v>Double Riichi + Chiitoitsu</v>
      </c>
      <c r="B8" s="2">
        <f>IFERROR(__xludf.DUMMYFUNCTION("""COMPUTED_VALUE"""),2727.0)</f>
        <v>2727</v>
      </c>
      <c r="C8" s="2" t="str">
        <f>IFERROR(__xludf.DUMMYFUNCTION("""COMPUTED_VALUE"""),"Double Riichi")</f>
        <v>Double Riichi</v>
      </c>
      <c r="D8" s="2" t="str">
        <f>IFERROR(__xludf.DUMMYFUNCTION("""COMPUTED_VALUE"""),"Chiitoitsu")</f>
        <v>Chiitoitsu</v>
      </c>
    </row>
    <row r="9">
      <c r="A9" s="2" t="str">
        <f>IFERROR(__xludf.DUMMYFUNCTION("""COMPUTED_VALUE"""),"Double Riichi + Ippatsu")</f>
        <v>Double Riichi + Ippatsu</v>
      </c>
      <c r="B9" s="2">
        <f>IFERROR(__xludf.DUMMYFUNCTION("""COMPUTED_VALUE"""),2445.0)</f>
        <v>2445</v>
      </c>
      <c r="C9" s="2" t="str">
        <f>IFERROR(__xludf.DUMMYFUNCTION("""COMPUTED_VALUE"""),"Double Riichi")</f>
        <v>Double Riichi</v>
      </c>
      <c r="D9" s="2" t="str">
        <f>IFERROR(__xludf.DUMMYFUNCTION("""COMPUTED_VALUE"""),"Ippatsu")</f>
        <v>Ippatsu</v>
      </c>
    </row>
    <row r="10">
      <c r="A10" s="2" t="str">
        <f>IFERROR(__xludf.DUMMYFUNCTION("""COMPUTED_VALUE"""),"Double Riichi + Yakuhai Dragon")</f>
        <v>Double Riichi + Yakuhai Dragon</v>
      </c>
      <c r="B10" s="2">
        <f>IFERROR(__xludf.DUMMYFUNCTION("""COMPUTED_VALUE"""),1354.0)</f>
        <v>1354</v>
      </c>
      <c r="C10" s="2" t="str">
        <f>IFERROR(__xludf.DUMMYFUNCTION("""COMPUTED_VALUE"""),"Double Riichi")</f>
        <v>Double Riichi</v>
      </c>
      <c r="D10" s="2" t="str">
        <f>IFERROR(__xludf.DUMMYFUNCTION("""COMPUTED_VALUE"""),"Yakuhai Dragon")</f>
        <v>Yakuhai Dragon</v>
      </c>
    </row>
    <row r="11">
      <c r="A11" s="2" t="str">
        <f>IFERROR(__xludf.DUMMYFUNCTION("""COMPUTED_VALUE"""),"Double Riichi + Tanyao")</f>
        <v>Double Riichi + Tanyao</v>
      </c>
      <c r="B11" s="2">
        <f>IFERROR(__xludf.DUMMYFUNCTION("""COMPUTED_VALUE"""),1253.0)</f>
        <v>1253</v>
      </c>
      <c r="C11" s="2" t="str">
        <f>IFERROR(__xludf.DUMMYFUNCTION("""COMPUTED_VALUE"""),"Double Riichi")</f>
        <v>Double Riichi</v>
      </c>
      <c r="D11" s="2" t="str">
        <f>IFERROR(__xludf.DUMMYFUNCTION("""COMPUTED_VALUE"""),"Tanyao")</f>
        <v>Tanyao</v>
      </c>
    </row>
    <row r="12">
      <c r="A12" s="2" t="str">
        <f>IFERROR(__xludf.DUMMYFUNCTION("""COMPUTED_VALUE"""),"Double Riichi + Yakuhai Wind")</f>
        <v>Double Riichi + Yakuhai Wind</v>
      </c>
      <c r="B12" s="2">
        <f>IFERROR(__xludf.DUMMYFUNCTION("""COMPUTED_VALUE"""),893.0)</f>
        <v>893</v>
      </c>
      <c r="C12" s="2" t="str">
        <f>IFERROR(__xludf.DUMMYFUNCTION("""COMPUTED_VALUE"""),"Double Riichi")</f>
        <v>Double Riichi</v>
      </c>
      <c r="D12" s="2" t="str">
        <f>IFERROR(__xludf.DUMMYFUNCTION("""COMPUTED_VALUE"""),"Yakuhai Wind")</f>
        <v>Yakuhai Wind</v>
      </c>
    </row>
    <row r="13">
      <c r="A13" s="2" t="str">
        <f>IFERROR(__xludf.DUMMYFUNCTION("""COMPUTED_VALUE"""),"Double Riichi + Iipeikou")</f>
        <v>Double Riichi + Iipeikou</v>
      </c>
      <c r="B13" s="2">
        <f>IFERROR(__xludf.DUMMYFUNCTION("""COMPUTED_VALUE"""),785.0)</f>
        <v>785</v>
      </c>
      <c r="C13" s="2" t="str">
        <f>IFERROR(__xludf.DUMMYFUNCTION("""COMPUTED_VALUE"""),"Double Riichi")</f>
        <v>Double Riichi</v>
      </c>
      <c r="D13" s="2" t="str">
        <f>IFERROR(__xludf.DUMMYFUNCTION("""COMPUTED_VALUE"""),"Iipeikou")</f>
        <v>Iipeikou</v>
      </c>
    </row>
    <row r="14">
      <c r="A14" s="2" t="str">
        <f>IFERROR(__xludf.DUMMYFUNCTION("""COMPUTED_VALUE"""),"Double Riichi + Doujun")</f>
        <v>Double Riichi + Doujun</v>
      </c>
      <c r="B14" s="2">
        <f>IFERROR(__xludf.DUMMYFUNCTION("""COMPUTED_VALUE"""),393.0)</f>
        <v>393</v>
      </c>
      <c r="C14" s="2" t="str">
        <f>IFERROR(__xludf.DUMMYFUNCTION("""COMPUTED_VALUE"""),"Double Riichi")</f>
        <v>Double Riichi</v>
      </c>
      <c r="D14" s="2" t="str">
        <f>IFERROR(__xludf.DUMMYFUNCTION("""COMPUTED_VALUE"""),"Doujun")</f>
        <v>Doujun</v>
      </c>
    </row>
    <row r="15">
      <c r="A15" s="2" t="str">
        <f>IFERROR(__xludf.DUMMYFUNCTION("""COMPUTED_VALUE"""),"Double Riichi + Itsu")</f>
        <v>Double Riichi + Itsu</v>
      </c>
      <c r="B15" s="2">
        <f>IFERROR(__xludf.DUMMYFUNCTION("""COMPUTED_VALUE"""),215.0)</f>
        <v>215</v>
      </c>
      <c r="C15" s="2" t="str">
        <f>IFERROR(__xludf.DUMMYFUNCTION("""COMPUTED_VALUE"""),"Double Riichi")</f>
        <v>Double Riichi</v>
      </c>
      <c r="D15" s="2" t="str">
        <f>IFERROR(__xludf.DUMMYFUNCTION("""COMPUTED_VALUE"""),"Itsu")</f>
        <v>Itsu</v>
      </c>
    </row>
    <row r="16">
      <c r="A16" s="2" t="str">
        <f>IFERROR(__xludf.DUMMYFUNCTION("""COMPUTED_VALUE"""),"Double Riichi + Sanankou")</f>
        <v>Double Riichi + Sanankou</v>
      </c>
      <c r="B16" s="2">
        <f>IFERROR(__xludf.DUMMYFUNCTION("""COMPUTED_VALUE"""),67.0)</f>
        <v>67</v>
      </c>
      <c r="C16" s="2" t="str">
        <f>IFERROR(__xludf.DUMMYFUNCTION("""COMPUTED_VALUE"""),"Double Riichi")</f>
        <v>Double Riichi</v>
      </c>
      <c r="D16" s="2" t="str">
        <f>IFERROR(__xludf.DUMMYFUNCTION("""COMPUTED_VALUE"""),"Sanankou")</f>
        <v>Sanankou</v>
      </c>
    </row>
    <row r="17">
      <c r="A17" s="2" t="str">
        <f>IFERROR(__xludf.DUMMYFUNCTION("""COMPUTED_VALUE"""),"Double Riichi + Honitsu")</f>
        <v>Double Riichi + Honitsu</v>
      </c>
      <c r="B17" s="2">
        <f>IFERROR(__xludf.DUMMYFUNCTION("""COMPUTED_VALUE"""),66.0)</f>
        <v>66</v>
      </c>
      <c r="C17" s="2" t="str">
        <f>IFERROR(__xludf.DUMMYFUNCTION("""COMPUTED_VALUE"""),"Double Riichi")</f>
        <v>Double Riichi</v>
      </c>
      <c r="D17" s="2" t="str">
        <f>IFERROR(__xludf.DUMMYFUNCTION("""COMPUTED_VALUE"""),"Honitsu")</f>
        <v>Honitsu</v>
      </c>
    </row>
    <row r="18">
      <c r="A18" s="2" t="str">
        <f>IFERROR(__xludf.DUMMYFUNCTION("""COMPUTED_VALUE"""),"Double Riichi + Chanta")</f>
        <v>Double Riichi + Chanta</v>
      </c>
      <c r="B18" s="2">
        <f>IFERROR(__xludf.DUMMYFUNCTION("""COMPUTED_VALUE"""),61.0)</f>
        <v>61</v>
      </c>
      <c r="C18" s="2" t="str">
        <f>IFERROR(__xludf.DUMMYFUNCTION("""COMPUTED_VALUE"""),"Double Riichi")</f>
        <v>Double Riichi</v>
      </c>
      <c r="D18" s="2" t="str">
        <f>IFERROR(__xludf.DUMMYFUNCTION("""COMPUTED_VALUE"""),"Chanta")</f>
        <v>Chanta</v>
      </c>
    </row>
    <row r="19">
      <c r="A19" s="2" t="str">
        <f>IFERROR(__xludf.DUMMYFUNCTION("""COMPUTED_VALUE"""),"Double Riichi + Haitei")</f>
        <v>Double Riichi + Haitei</v>
      </c>
      <c r="B19" s="2">
        <f>IFERROR(__xludf.DUMMYFUNCTION("""COMPUTED_VALUE"""),39.0)</f>
        <v>39</v>
      </c>
      <c r="C19" s="2" t="str">
        <f>IFERROR(__xludf.DUMMYFUNCTION("""COMPUTED_VALUE"""),"Double Riichi")</f>
        <v>Double Riichi</v>
      </c>
      <c r="D19" s="2" t="str">
        <f>IFERROR(__xludf.DUMMYFUNCTION("""COMPUTED_VALUE"""),"Haitei")</f>
        <v>Haitei</v>
      </c>
    </row>
    <row r="20">
      <c r="A20" s="2" t="str">
        <f>IFERROR(__xludf.DUMMYFUNCTION("""COMPUTED_VALUE"""),"Double Riichi + Houtei")</f>
        <v>Double Riichi + Houtei</v>
      </c>
      <c r="B20" s="2">
        <f>IFERROR(__xludf.DUMMYFUNCTION("""COMPUTED_VALUE"""),27.0)</f>
        <v>27</v>
      </c>
      <c r="C20" s="2" t="str">
        <f>IFERROR(__xludf.DUMMYFUNCTION("""COMPUTED_VALUE"""),"Double Riichi")</f>
        <v>Double Riichi</v>
      </c>
      <c r="D20" s="2" t="str">
        <f>IFERROR(__xludf.DUMMYFUNCTION("""COMPUTED_VALUE"""),"Houtei")</f>
        <v>Houtei</v>
      </c>
    </row>
    <row r="21">
      <c r="A21" s="2" t="str">
        <f>IFERROR(__xludf.DUMMYFUNCTION("""COMPUTED_VALUE"""),"Double Riichi + Rinshan")</f>
        <v>Double Riichi + Rinshan</v>
      </c>
      <c r="B21" s="2">
        <f>IFERROR(__xludf.DUMMYFUNCTION("""COMPUTED_VALUE"""),25.0)</f>
        <v>25</v>
      </c>
      <c r="C21" s="2" t="str">
        <f>IFERROR(__xludf.DUMMYFUNCTION("""COMPUTED_VALUE"""),"Double Riichi")</f>
        <v>Double Riichi</v>
      </c>
      <c r="D21" s="2" t="str">
        <f>IFERROR(__xludf.DUMMYFUNCTION("""COMPUTED_VALUE"""),"Rinshan")</f>
        <v>Rinshan</v>
      </c>
    </row>
    <row r="22">
      <c r="A22" s="2" t="str">
        <f>IFERROR(__xludf.DUMMYFUNCTION("""COMPUTED_VALUE"""),"Double Riichi + Junchan")</f>
        <v>Double Riichi + Junchan</v>
      </c>
      <c r="B22" s="2">
        <f>IFERROR(__xludf.DUMMYFUNCTION("""COMPUTED_VALUE"""),14.0)</f>
        <v>14</v>
      </c>
      <c r="C22" s="2" t="str">
        <f>IFERROR(__xludf.DUMMYFUNCTION("""COMPUTED_VALUE"""),"Double Riichi")</f>
        <v>Double Riichi</v>
      </c>
      <c r="D22" s="2" t="str">
        <f>IFERROR(__xludf.DUMMYFUNCTION("""COMPUTED_VALUE"""),"Junchan")</f>
        <v>Junchan</v>
      </c>
    </row>
    <row r="23">
      <c r="A23" s="2" t="str">
        <f>IFERROR(__xludf.DUMMYFUNCTION("""COMPUTED_VALUE"""),"Double Riichi + Toitoi")</f>
        <v>Double Riichi + Toitoi</v>
      </c>
      <c r="B23" s="2">
        <f>IFERROR(__xludf.DUMMYFUNCTION("""COMPUTED_VALUE"""),3.0)</f>
        <v>3</v>
      </c>
      <c r="C23" s="2" t="str">
        <f>IFERROR(__xludf.DUMMYFUNCTION("""COMPUTED_VALUE"""),"Double Riichi")</f>
        <v>Double Riichi</v>
      </c>
      <c r="D23" s="2" t="str">
        <f>IFERROR(__xludf.DUMMYFUNCTION("""COMPUTED_VALUE"""),"Toitoi")</f>
        <v>Toitoi</v>
      </c>
    </row>
    <row r="24">
      <c r="A24" s="2" t="str">
        <f>IFERROR(__xludf.DUMMYFUNCTION("""COMPUTED_VALUE"""),"Double Riichi + Chinitsu")</f>
        <v>Double Riichi + Chinitsu</v>
      </c>
      <c r="B24" s="2">
        <f>IFERROR(__xludf.DUMMYFUNCTION("""COMPUTED_VALUE"""),2.0)</f>
        <v>2</v>
      </c>
      <c r="C24" s="2" t="str">
        <f>IFERROR(__xludf.DUMMYFUNCTION("""COMPUTED_VALUE"""),"Double Riichi")</f>
        <v>Double Riichi</v>
      </c>
      <c r="D24" s="2" t="str">
        <f>IFERROR(__xludf.DUMMYFUNCTION("""COMPUTED_VALUE"""),"Chinitsu")</f>
        <v>Chinitsu</v>
      </c>
    </row>
    <row r="25">
      <c r="A25" s="2" t="str">
        <f>IFERROR(__xludf.DUMMYFUNCTION("""COMPUTED_VALUE"""),"Double Riichi + Ryanpeikou")</f>
        <v>Double Riichi + Ryanpeikou</v>
      </c>
      <c r="B25" s="2">
        <f>IFERROR(__xludf.DUMMYFUNCTION("""COMPUTED_VALUE"""),2.0)</f>
        <v>2</v>
      </c>
      <c r="C25" s="2" t="str">
        <f>IFERROR(__xludf.DUMMYFUNCTION("""COMPUTED_VALUE"""),"Double Riichi")</f>
        <v>Double Riichi</v>
      </c>
      <c r="D25" s="2" t="str">
        <f>IFERROR(__xludf.DUMMYFUNCTION("""COMPUTED_VALUE"""),"Ryanpeikou")</f>
        <v>Ryanpeikou</v>
      </c>
    </row>
    <row r="26">
      <c r="A26" s="2" t="str">
        <f>IFERROR(__xludf.DUMMYFUNCTION("""COMPUTED_VALUE"""),"Double Riichi + Doukou")</f>
        <v>Double Riichi + Doukou</v>
      </c>
      <c r="B26" s="2">
        <f>IFERROR(__xludf.DUMMYFUNCTION("""COMPUTED_VALUE"""),1.0)</f>
        <v>1</v>
      </c>
      <c r="C26" s="2" t="str">
        <f>IFERROR(__xludf.DUMMYFUNCTION("""COMPUTED_VALUE"""),"Double Riichi")</f>
        <v>Double Riichi</v>
      </c>
      <c r="D26" s="2" t="str">
        <f>IFERROR(__xludf.DUMMYFUNCTION("""COMPUTED_VALUE"""),"Doukou")</f>
        <v>Doukou</v>
      </c>
    </row>
    <row r="27">
      <c r="A27" s="2" t="str">
        <f>IFERROR(__xludf.DUMMYFUNCTION("""COMPUTED_VALUE"""),"Double Riichi + Honroutou")</f>
        <v>Double Riichi + Honroutou</v>
      </c>
      <c r="B27" s="2">
        <f>IFERROR(__xludf.DUMMYFUNCTION("""COMPUTED_VALUE"""),1.0)</f>
        <v>1</v>
      </c>
      <c r="C27" s="2" t="str">
        <f>IFERROR(__xludf.DUMMYFUNCTION("""COMPUTED_VALUE"""),"Double Riichi")</f>
        <v>Double Riichi</v>
      </c>
      <c r="D27" s="2" t="str">
        <f>IFERROR(__xludf.DUMMYFUNCTION("""COMPUTED_VALUE"""),"Honroutou")</f>
        <v>Honroutou</v>
      </c>
    </row>
    <row r="28">
      <c r="A28" s="2" t="str">
        <f>IFERROR(__xludf.DUMMYFUNCTION("""COMPUTED_VALUE"""),"Double Riichi + Shousangen")</f>
        <v>Double Riichi + Shousangen</v>
      </c>
      <c r="B28" s="2">
        <f>IFERROR(__xludf.DUMMYFUNCTION("""COMPUTED_VALUE"""),1.0)</f>
        <v>1</v>
      </c>
      <c r="C28" s="2" t="str">
        <f>IFERROR(__xludf.DUMMYFUNCTION("""COMPUTED_VALUE"""),"Double Riichi")</f>
        <v>Double Riichi</v>
      </c>
      <c r="D28" s="2" t="str">
        <f>IFERROR(__xludf.DUMMYFUNCTION("""COMPUTED_VALUE"""),"Shousangen")</f>
        <v>Shousangen</v>
      </c>
    </row>
  </sheetData>
  <drawing r:id="rId1"/>
</worksheet>
</file>